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5480" windowHeight="5010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comments1.xml><?xml version="1.0" encoding="utf-8"?>
<comments xmlns="http://schemas.openxmlformats.org/spreadsheetml/2006/main">
  <authors>
    <author>Frank Scharenberg</author>
  </authors>
  <commentList>
    <comment ref="D219" authorId="0">
      <text>
        <r>
          <rPr>
            <b/>
            <sz val="8"/>
            <rFont val="Tahoma"/>
            <family val="0"/>
          </rPr>
          <t>Frank Scharenberg:</t>
        </r>
        <r>
          <rPr>
            <sz val="8"/>
            <rFont val="Tahoma"/>
            <family val="0"/>
          </rPr>
          <t xml:space="preserve">
Ergebnis 2007 laut Rechenschaftsbericht</t>
        </r>
      </text>
    </comment>
  </commentList>
</comments>
</file>

<file path=xl/sharedStrings.xml><?xml version="1.0" encoding="utf-8"?>
<sst xmlns="http://schemas.openxmlformats.org/spreadsheetml/2006/main" count="302" uniqueCount="247">
  <si>
    <t>Produkt/-gruppe/-bereich</t>
  </si>
  <si>
    <t>Nr.</t>
  </si>
  <si>
    <t>Bezeichnung</t>
  </si>
  <si>
    <t>Finanzen / Budget</t>
  </si>
  <si>
    <t>Plan</t>
  </si>
  <si>
    <t>Prognose</t>
  </si>
  <si>
    <t>Tendenz</t>
  </si>
  <si>
    <t>Leistungen ("Top"-Kennzahlen)</t>
  </si>
  <si>
    <t xml:space="preserve">Ausbildung                                                                                                                                            </t>
  </si>
  <si>
    <t xml:space="preserve">Personalwirtschaft                                                                                                                                    </t>
  </si>
  <si>
    <t xml:space="preserve">Kommunikationsdienste                                                                                                                                 </t>
  </si>
  <si>
    <t xml:space="preserve">Fahrdienst                                                                                                                                            </t>
  </si>
  <si>
    <t xml:space="preserve">Service                                                                                                                                               </t>
  </si>
  <si>
    <t xml:space="preserve">Beschaffungswesen                                                                                                                                     </t>
  </si>
  <si>
    <t xml:space="preserve">Druckerzeugnisse                                                                                                                                      </t>
  </si>
  <si>
    <t xml:space="preserve">Organisationsbetreuung                                                                                                                                </t>
  </si>
  <si>
    <t xml:space="preserve">Finanzwirtschaft                                                                                                                                      </t>
  </si>
  <si>
    <t>Kommunal- und Standesamtsaufsicht</t>
  </si>
  <si>
    <t xml:space="preserve">Wahlen                                                                                                                                                </t>
  </si>
  <si>
    <t xml:space="preserve">Zahlungsvorgänge                                                                                                                                      </t>
  </si>
  <si>
    <t xml:space="preserve">Vollstreckung                                                                                                                                         </t>
  </si>
  <si>
    <t xml:space="preserve">Ausländerwesen                                                                                                                                        </t>
  </si>
  <si>
    <t xml:space="preserve">Ordnungswidrigkeiten                                                                                                                                  </t>
  </si>
  <si>
    <t xml:space="preserve">Gewerbeüberwachung                                                                                                                                    </t>
  </si>
  <si>
    <t xml:space="preserve">Rettungsdienst                                                                                                                                        </t>
  </si>
  <si>
    <t>Gewerblicher Kraftverkehr</t>
  </si>
  <si>
    <t xml:space="preserve">Verkehrsüberwachung                                                                                                                                   </t>
  </si>
  <si>
    <t xml:space="preserve">Altersteilzeit                                                                                                                                        </t>
  </si>
  <si>
    <t>Fachbereich II (Umwelt, Bauen und Verbraucherschutz):</t>
  </si>
  <si>
    <t>Fachbereichsleitung II</t>
  </si>
  <si>
    <t>Schutz des Wassers</t>
  </si>
  <si>
    <t>Schutz des Bodens</t>
  </si>
  <si>
    <t xml:space="preserve">Immissionsschutz                                                                                                                                      </t>
  </si>
  <si>
    <t xml:space="preserve">Landschaftsschutz                                                                                                                                     </t>
  </si>
  <si>
    <t xml:space="preserve">Artenschutz                                                                                                                                           </t>
  </si>
  <si>
    <t>Schutz des Menschen vor Chemikalien</t>
  </si>
  <si>
    <t>Agenda 21</t>
  </si>
  <si>
    <t xml:space="preserve">Verbraucherschutz                                                                                                                                     </t>
  </si>
  <si>
    <t xml:space="preserve">Tiergesundheitsschutz                                                                                                                                 </t>
  </si>
  <si>
    <t>Allgemeine Gefahrenabwehr</t>
  </si>
  <si>
    <t xml:space="preserve">Kreisstraßenunterhaltung                                                                                                                              </t>
  </si>
  <si>
    <t xml:space="preserve">Kreisstraßenbau                                                                                                                                       </t>
  </si>
  <si>
    <t>Verwaltung der Kreisstraßen</t>
  </si>
  <si>
    <t xml:space="preserve">Bauaufsicht                                                                                                                                           </t>
  </si>
  <si>
    <t xml:space="preserve">Denkmalschutz                                                                                                                                         </t>
  </si>
  <si>
    <t xml:space="preserve">Planung                                                                                                                                               </t>
  </si>
  <si>
    <t xml:space="preserve">Wohnungswesen                                                                                                                                         </t>
  </si>
  <si>
    <t>Fachbereich III (Soziales, Jugend und Gesundheit):</t>
  </si>
  <si>
    <t xml:space="preserve">Schülerbeförderung                                                                                                                                    </t>
  </si>
  <si>
    <t xml:space="preserve">Kreismedienzentrum                                                                                                                                    </t>
  </si>
  <si>
    <t xml:space="preserve">Archiv                                                                                                                                                </t>
  </si>
  <si>
    <t xml:space="preserve">Partnerschaften                                                                                                                                       </t>
  </si>
  <si>
    <t>Hilfe zum Lebensunterhalt</t>
  </si>
  <si>
    <t>Grundsicherung im Alter und bei Erwerbsminderung</t>
  </si>
  <si>
    <t>Hilfe zur Pflege</t>
  </si>
  <si>
    <t>Eingliederungshilfe für behinderte Menschen</t>
  </si>
  <si>
    <t>Leistungen nach dem AsylblG</t>
  </si>
  <si>
    <t xml:space="preserve">Wohngeld                                                                                                                                              </t>
  </si>
  <si>
    <t xml:space="preserve">Betreuungsstelle                                                                                                                                      </t>
  </si>
  <si>
    <t>Amtsärztl. Dienst und Medizinalaufsicht</t>
  </si>
  <si>
    <t>Infektionsschutz und Hygieneüberwachung</t>
  </si>
  <si>
    <t>Psychosoziale Hilfen</t>
  </si>
  <si>
    <t>Sozialpsychatrische Hilfen</t>
  </si>
  <si>
    <t>Gesundheitsförderung/-vorsorge</t>
  </si>
  <si>
    <t>Budget "Landrat":</t>
  </si>
  <si>
    <t>Verwaltungsführung (Landrat)</t>
  </si>
  <si>
    <t xml:space="preserve">Verfügungsmittel                                                                                                                                      </t>
  </si>
  <si>
    <t xml:space="preserve">Controlling                                                                                                                                           </t>
  </si>
  <si>
    <t>Prüfdienst intern</t>
  </si>
  <si>
    <t>Prüfdienst extern</t>
  </si>
  <si>
    <t xml:space="preserve">Personalrat                                                                                                                                           </t>
  </si>
  <si>
    <t>Gleichstellungsarbeit intern</t>
  </si>
  <si>
    <t>Gleichstellungsarbeit extern</t>
  </si>
  <si>
    <t>Presse- und Öffentlichkeitsarbeit</t>
  </si>
  <si>
    <t xml:space="preserve">Landratsbüro                                                                                                                                          </t>
  </si>
  <si>
    <t>Politische Steuerung/Kreistagsbüro</t>
  </si>
  <si>
    <t xml:space="preserve">Wirtschaftsförderung                                                                                                                                  </t>
  </si>
  <si>
    <t>Projekt- und Entwicklungsmanagement</t>
  </si>
  <si>
    <t>Summe Budget "Landrat"</t>
  </si>
  <si>
    <t>Allgemeine Finanzierungsmittel</t>
  </si>
  <si>
    <t>Gesamtbudget:</t>
  </si>
  <si>
    <t>Enthaltener Fehlbetrag Vorjahre:</t>
  </si>
  <si>
    <t>Jahresfehlbetrag</t>
  </si>
  <si>
    <t>Abweichung</t>
  </si>
  <si>
    <t>Positiv</t>
  </si>
  <si>
    <t>Negativ</t>
  </si>
  <si>
    <t>Indikator</t>
  </si>
  <si>
    <t>Ausbildungsmonate</t>
  </si>
  <si>
    <t>Postausgänge</t>
  </si>
  <si>
    <t>Km</t>
  </si>
  <si>
    <t>Arbeitsplätze</t>
  </si>
  <si>
    <t>Blinks</t>
  </si>
  <si>
    <t>Orga-Untersuchungen</t>
  </si>
  <si>
    <t>Arbeitsstunden</t>
  </si>
  <si>
    <t>Buchungen</t>
  </si>
  <si>
    <t>Einbürgerungsanträge</t>
  </si>
  <si>
    <t>Buß-/Verwarngeldverfahren</t>
  </si>
  <si>
    <t>Verfahren</t>
  </si>
  <si>
    <t>Jagdscheinerteilungen</t>
  </si>
  <si>
    <t>Brandursacheermittlungen</t>
  </si>
  <si>
    <t>Einsätze</t>
  </si>
  <si>
    <t>Führerscheinerteilungen</t>
  </si>
  <si>
    <t>Zulass.,Stillleg.,Umschreib.,</t>
  </si>
  <si>
    <t>Entscheidungen</t>
  </si>
  <si>
    <t>Leistungsmonate Vollkr.</t>
  </si>
  <si>
    <t>Fachbereichsleitung I:</t>
  </si>
  <si>
    <t>PC´S</t>
  </si>
  <si>
    <t>Produktgruppe "EDV"</t>
  </si>
  <si>
    <t>Produktgruppe "Personal und Service":</t>
  </si>
  <si>
    <t>Produktgruppe "Kämmerei und Kommunalaufs.":</t>
  </si>
  <si>
    <t>Produktgruppe "Kreiskasse":</t>
  </si>
  <si>
    <t>Produktgruppe "Recht":</t>
  </si>
  <si>
    <t>Produktgruppe "Ordnungswesen":</t>
  </si>
  <si>
    <t>Produktgruppe "Straßenverkehr":</t>
  </si>
  <si>
    <t>Produktgruppe "Altersteilzeit":</t>
  </si>
  <si>
    <t>Produktbereich "Fachbereich I"</t>
  </si>
  <si>
    <t>Prüfungsberichte</t>
  </si>
  <si>
    <t>Fälle</t>
  </si>
  <si>
    <t>Produktgruppe "Landrat":</t>
  </si>
  <si>
    <t>Produktgruppe "Controlling":</t>
  </si>
  <si>
    <t>Produktgruppe "Rechnungsprüfungsamt":</t>
  </si>
  <si>
    <t>Produktgruppe "Gleichstellungsbeauftragte"I:</t>
  </si>
  <si>
    <t>Produktgruppe "Referat für Landrat, Kreistag und Öffentlichkeitsarbeit"::</t>
  </si>
  <si>
    <t>Produktgruppe "Wirtschaftsförderung":</t>
  </si>
  <si>
    <t>Produktgruppe "Projekt- und Entwicklungsmanagement":</t>
  </si>
  <si>
    <t>Produktgruppe "Personalrat":</t>
  </si>
  <si>
    <t>Fachbereichsleitung II:</t>
  </si>
  <si>
    <t>Entscheidungen von Amts wegen</t>
  </si>
  <si>
    <t>Entscheidungen auf Antrag</t>
  </si>
  <si>
    <t>Beratungen</t>
  </si>
  <si>
    <t>Arbeitsstunden Umweltbildung</t>
  </si>
  <si>
    <t>Produktgruppe "Umwelt":</t>
  </si>
  <si>
    <t>Stellungnahmen</t>
  </si>
  <si>
    <t>Produktgruppe "Veterinärwesen":</t>
  </si>
  <si>
    <t>Produktgruppe  "Straßenbau":</t>
  </si>
  <si>
    <t>Produktgruppe "Bau- und Raumordnung":</t>
  </si>
  <si>
    <t>Anträge/Stellungnahmen</t>
  </si>
  <si>
    <t>Produktbereich Fachbereich II:</t>
  </si>
  <si>
    <t>Fachbereichsleitung III:</t>
  </si>
  <si>
    <t>Produktgruppe "Schule, Kultur und Sport":</t>
  </si>
  <si>
    <t>Produktgruppe "Soziales":</t>
  </si>
  <si>
    <t>Produktgruppe "Arbeit":</t>
  </si>
  <si>
    <t>Produktgruppe "Jugendamt":</t>
  </si>
  <si>
    <t>Produktgruppe "Gesundheitsamt":</t>
  </si>
  <si>
    <t>Produktbereich Fachbereich III</t>
  </si>
  <si>
    <t>Schülerjahreskarten VG</t>
  </si>
  <si>
    <t>entliehene Medien</t>
  </si>
  <si>
    <t>Stunden Schulschwimmen</t>
  </si>
  <si>
    <t>erschlossene Einheiten</t>
  </si>
  <si>
    <t>Besuche</t>
  </si>
  <si>
    <t>Abwicklung Budget 321</t>
  </si>
  <si>
    <t>Abwicklung Budget 324</t>
  </si>
  <si>
    <t>Abwicklung Budget 326</t>
  </si>
  <si>
    <t>Bedarfsgemeinschaften</t>
  </si>
  <si>
    <t>Teilnehmer</t>
  </si>
  <si>
    <t>Anträge</t>
  </si>
  <si>
    <t>Maßnahmen</t>
  </si>
  <si>
    <t>Kontakte</t>
  </si>
  <si>
    <t>Bauüberwachung</t>
  </si>
  <si>
    <t>Ausstell. von Attesten</t>
  </si>
  <si>
    <t>Überprüfungen Hunde</t>
  </si>
  <si>
    <t>Einschulungsunter-suchungen</t>
  </si>
  <si>
    <t>Fachbereich I (Zentrale Verwaltung, Ordnung, Recht):</t>
  </si>
  <si>
    <t>Zahlungseingänge in €</t>
  </si>
  <si>
    <t>Produkt "Zentrale Vergabestelle"</t>
  </si>
  <si>
    <t>MitarbeiterInnen</t>
  </si>
  <si>
    <t>Katastrophenschutz</t>
  </si>
  <si>
    <t>KatS-Helfer</t>
  </si>
  <si>
    <t>Tierkörperbeseitigung</t>
  </si>
  <si>
    <t>Betriebsprüfungen</t>
  </si>
  <si>
    <t>Baurechtliche Entscheidungen</t>
  </si>
  <si>
    <t>Vergaben/ Ausschreibungen</t>
  </si>
  <si>
    <t xml:space="preserve">Betriebsüberprüfungen </t>
  </si>
  <si>
    <t>Probeentnahmen</t>
  </si>
  <si>
    <t>Schulverwaltung Hauptschulen</t>
  </si>
  <si>
    <t>Schulverwaltung Grund- und Hauptschulen</t>
  </si>
  <si>
    <t>Schulverwaltung Realschulen</t>
  </si>
  <si>
    <t>Schulverwaltung Haupt- und Realschulen</t>
  </si>
  <si>
    <t>Schulverwaltung Gymnasien</t>
  </si>
  <si>
    <t>Schulverwaltung Gesamtschulen</t>
  </si>
  <si>
    <t>Schulverwaltung Förderschulen</t>
  </si>
  <si>
    <t>Schulverwaltung berufsbildende Schulen</t>
  </si>
  <si>
    <t>allgmeine Schulverwaltung</t>
  </si>
  <si>
    <t>Kreismuseum</t>
  </si>
  <si>
    <t>Breitensportförderung</t>
  </si>
  <si>
    <t>ÖPNV</t>
  </si>
  <si>
    <t>Schülerinnen/Schüler</t>
  </si>
  <si>
    <t>Besucher</t>
  </si>
  <si>
    <t>Vereine</t>
  </si>
  <si>
    <t>Gesundheitsförderung/ Sport</t>
  </si>
  <si>
    <t>Hilfen zur Gesundheit</t>
  </si>
  <si>
    <t>Hilfe zur Überwindung bes.soz. Schwierigkeiten und in anderen Lebenslagen</t>
  </si>
  <si>
    <t>Zahlungen Quotales System</t>
  </si>
  <si>
    <t>Verwaltung der Sozialhilfe</t>
  </si>
  <si>
    <t>Soziale Einrichtungen für pflegebedürftige ältere Menschen</t>
  </si>
  <si>
    <t>Soziale Einrichtungen für Menschen mit Behinderungen</t>
  </si>
  <si>
    <t>andere soziale Einrichtungen</t>
  </si>
  <si>
    <t>Leistungen nach dem BVG</t>
  </si>
  <si>
    <t>Leistungen nach dem Rehabilitierungsgesetz</t>
  </si>
  <si>
    <t>Krankenversorgung nach §§ 276 und 276a LAG - örtlicher Träger</t>
  </si>
  <si>
    <t>Versicherungsangele-genheiten</t>
  </si>
  <si>
    <t>Quote in Prozent</t>
  </si>
  <si>
    <t>Landesblindengeld</t>
  </si>
  <si>
    <t>Leistungen für Unterkunft und Heizung</t>
  </si>
  <si>
    <t>Eingliederungsleistun-gen kommunal</t>
  </si>
  <si>
    <t>einmalige Leistungen</t>
  </si>
  <si>
    <t>Eingliederungsleistun-gen Optionskommunen</t>
  </si>
  <si>
    <t>Verwaltung Arbeitslosengeld II</t>
  </si>
  <si>
    <t>Personen</t>
  </si>
  <si>
    <t>erwerbsfähige Hilfebedürftige</t>
  </si>
  <si>
    <t>Bundesausbildungs-förderung</t>
  </si>
  <si>
    <t>Unterhaltsvorschuss</t>
  </si>
  <si>
    <t>Förderung von Kindern in Tageseinrichtungen und in Tagespflege</t>
  </si>
  <si>
    <t>Jugendarbeit</t>
  </si>
  <si>
    <t>Jugendsozialarbeit, Erzieherischer Kinder- und Jugendschutz</t>
  </si>
  <si>
    <t>Förderung der Erziehung in der Familie</t>
  </si>
  <si>
    <t>Hilfe zur Erziehung</t>
  </si>
  <si>
    <t>Hilfen für junge Voll-jährige/ Inobhutnahme/ Eingliederungshilfe</t>
  </si>
  <si>
    <t>Adoptionsvermittlung, Beistandschaft, Amts-pflegschaft und Vormund-schaft, Gerichtshilfen</t>
  </si>
  <si>
    <t>übrige Hilfen</t>
  </si>
  <si>
    <t>Verwaltung der Jugendhilfe</t>
  </si>
  <si>
    <t>Jugendzeltplätze</t>
  </si>
  <si>
    <t>Erziehungs-, Jugend- und Familienberatungs-stellen</t>
  </si>
  <si>
    <t>USG-Anträge</t>
  </si>
  <si>
    <t>belegte Plätze</t>
  </si>
  <si>
    <t>Hilfeplangespräche</t>
  </si>
  <si>
    <t>Beratungsfälle</t>
  </si>
  <si>
    <t>Hilfepläne</t>
  </si>
  <si>
    <t>UVG-Anträge</t>
  </si>
  <si>
    <t>Anträge Elterngeld</t>
  </si>
  <si>
    <t xml:space="preserve">Ordnungsangelegen-heiten                                                                                                                              </t>
  </si>
  <si>
    <t xml:space="preserve">Führerscheinangele-genheiten                                                                                                                           </t>
  </si>
  <si>
    <t xml:space="preserve">Zulassungsangele-genheiten                                                                                                                             </t>
  </si>
  <si>
    <t>Verkehrsbehördliche Anordnungen</t>
  </si>
  <si>
    <t>Dienstaufsichtsbe-schwerden</t>
  </si>
  <si>
    <t>Überprüfungen Tierschutz</t>
  </si>
  <si>
    <t>Brandschutzmaß-nahmen</t>
  </si>
  <si>
    <t>Heimatpflege</t>
  </si>
  <si>
    <t>Grundleistungsfälle</t>
  </si>
  <si>
    <t>Arbeitslosengeld II</t>
  </si>
  <si>
    <t>vollstationäre Pflegefälle</t>
  </si>
  <si>
    <t>Allg. Finanzierungsmittel</t>
  </si>
  <si>
    <t>Sonst. allg. Finanzwirtschaft</t>
  </si>
  <si>
    <t>Abwicklung der Vorjahre</t>
  </si>
  <si>
    <t>Beteiligung in jurist. Angelegenheiten</t>
  </si>
  <si>
    <t>Produktbericht für alle Produkte des Landkreises Peine; Stand 31.07.2008</t>
  </si>
  <si>
    <t>Stand   31.07.08</t>
  </si>
</sst>
</file>

<file path=xl/styles.xml><?xml version="1.0" encoding="utf-8"?>
<styleSheet xmlns="http://schemas.openxmlformats.org/spreadsheetml/2006/main">
  <numFmts count="3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[$€-1]"/>
    <numFmt numFmtId="173" formatCode="000"/>
    <numFmt numFmtId="174" formatCode="0000000000"/>
    <numFmt numFmtId="175" formatCode="000000000000000000"/>
    <numFmt numFmtId="176" formatCode="000000000000000000000"/>
    <numFmt numFmtId="177" formatCode="0000000"/>
    <numFmt numFmtId="178" formatCode="00000000000000000"/>
    <numFmt numFmtId="179" formatCode="0000000000000000"/>
    <numFmt numFmtId="180" formatCode="0000000000000000000000"/>
    <numFmt numFmtId="181" formatCode="000000"/>
    <numFmt numFmtId="182" formatCode="0000000000000"/>
    <numFmt numFmtId="183" formatCode="00000000000000"/>
    <numFmt numFmtId="184" formatCode="00000000000000000000"/>
    <numFmt numFmtId="185" formatCode="00000000000000000000000"/>
    <numFmt numFmtId="186" formatCode="000000000000000000000000000"/>
    <numFmt numFmtId="187" formatCode="0000000000000000000000000"/>
    <numFmt numFmtId="188" formatCode="0000000000000000000"/>
    <numFmt numFmtId="189" formatCode="00000000000"/>
    <numFmt numFmtId="190" formatCode="000000000000000000000000"/>
    <numFmt numFmtId="191" formatCode="000000000000000"/>
    <numFmt numFmtId="192" formatCode="000000000000"/>
    <numFmt numFmtId="193" formatCode="00000000"/>
  </numFmts>
  <fonts count="1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7"/>
      <name val="Wingdings"/>
      <family val="0"/>
    </font>
    <font>
      <b/>
      <sz val="11"/>
      <color indexed="10"/>
      <name val="Wingdings"/>
      <family val="0"/>
    </font>
    <font>
      <sz val="14"/>
      <name val="Wingdings"/>
      <family val="0"/>
    </font>
    <font>
      <b/>
      <sz val="14"/>
      <name val="Wingdings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 quotePrefix="1">
      <alignment/>
    </xf>
    <xf numFmtId="3" fontId="0" fillId="0" borderId="5" xfId="0" applyNumberFormat="1" applyFont="1" applyFill="1" applyBorder="1" applyAlignment="1">
      <alignment/>
    </xf>
    <xf numFmtId="3" fontId="10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0" fillId="0" borderId="8" xfId="0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4" borderId="12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/>
    </xf>
    <xf numFmtId="3" fontId="1" fillId="5" borderId="12" xfId="0" applyNumberFormat="1" applyFont="1" applyFill="1" applyBorder="1" applyAlignment="1">
      <alignment/>
    </xf>
    <xf numFmtId="3" fontId="9" fillId="5" borderId="15" xfId="0" applyNumberFormat="1" applyFont="1" applyFill="1" applyBorder="1" applyAlignment="1">
      <alignment horizontal="center"/>
    </xf>
    <xf numFmtId="3" fontId="0" fillId="5" borderId="1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1" fillId="5" borderId="15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wrapText="1"/>
    </xf>
    <xf numFmtId="0" fontId="1" fillId="2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3" fontId="0" fillId="5" borderId="12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/>
    </xf>
    <xf numFmtId="3" fontId="1" fillId="6" borderId="12" xfId="0" applyNumberFormat="1" applyFont="1" applyFill="1" applyBorder="1" applyAlignment="1">
      <alignment/>
    </xf>
    <xf numFmtId="0" fontId="6" fillId="6" borderId="12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3" fontId="9" fillId="6" borderId="15" xfId="0" applyNumberFormat="1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3" fontId="0" fillId="4" borderId="10" xfId="0" applyNumberFormat="1" applyFont="1" applyFill="1" applyBorder="1" applyAlignment="1">
      <alignment/>
    </xf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3" fontId="8" fillId="4" borderId="11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8" fillId="4" borderId="1" xfId="0" applyNumberFormat="1" applyFont="1" applyFill="1" applyBorder="1" applyAlignment="1">
      <alignment horizontal="center"/>
    </xf>
    <xf numFmtId="3" fontId="9" fillId="4" borderId="1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3" fontId="8" fillId="7" borderId="6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/>
    </xf>
    <xf numFmtId="3" fontId="9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8" borderId="0" xfId="0" applyFont="1" applyFill="1" applyBorder="1" applyAlignment="1">
      <alignment/>
    </xf>
    <xf numFmtId="3" fontId="1" fillId="8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3" fontId="0" fillId="8" borderId="0" xfId="0" applyNumberFormat="1" applyFont="1" applyFill="1" applyBorder="1" applyAlignment="1">
      <alignment/>
    </xf>
    <xf numFmtId="3" fontId="2" fillId="8" borderId="0" xfId="0" applyNumberFormat="1" applyFont="1" applyFill="1" applyBorder="1" applyAlignment="1">
      <alignment/>
    </xf>
    <xf numFmtId="3" fontId="1" fillId="6" borderId="1" xfId="0" applyNumberFormat="1" applyFont="1" applyFill="1" applyBorder="1" applyAlignment="1">
      <alignment/>
    </xf>
    <xf numFmtId="3" fontId="9" fillId="4" borderId="11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/>
    </xf>
    <xf numFmtId="3" fontId="8" fillId="7" borderId="1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 quotePrefix="1">
      <alignment horizontal="right" vertical="center"/>
    </xf>
    <xf numFmtId="3" fontId="0" fillId="5" borderId="14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2" borderId="1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91" fontId="0" fillId="0" borderId="1" xfId="0" applyNumberFormat="1" applyFont="1" applyBorder="1" applyAlignment="1">
      <alignment wrapText="1"/>
    </xf>
    <xf numFmtId="17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81" fontId="0" fillId="0" borderId="1" xfId="0" applyNumberFormat="1" applyFont="1" applyBorder="1" applyAlignment="1">
      <alignment wrapText="1"/>
    </xf>
    <xf numFmtId="0" fontId="0" fillId="0" borderId="1" xfId="0" applyFont="1" applyBorder="1" applyAlignment="1" quotePrefix="1">
      <alignment wrapText="1"/>
    </xf>
    <xf numFmtId="192" fontId="0" fillId="0" borderId="1" xfId="0" applyNumberFormat="1" applyFont="1" applyBorder="1" applyAlignment="1">
      <alignment wrapText="1"/>
    </xf>
    <xf numFmtId="189" fontId="0" fillId="0" borderId="1" xfId="0" applyNumberFormat="1" applyFont="1" applyBorder="1" applyAlignment="1">
      <alignment wrapText="1"/>
    </xf>
    <xf numFmtId="193" fontId="0" fillId="0" borderId="1" xfId="0" applyNumberFormat="1" applyFont="1" applyBorder="1" applyAlignment="1">
      <alignment wrapText="1"/>
    </xf>
    <xf numFmtId="179" fontId="0" fillId="0" borderId="1" xfId="0" applyNumberFormat="1" applyFont="1" applyBorder="1" applyAlignment="1">
      <alignment wrapText="1"/>
    </xf>
    <xf numFmtId="174" fontId="0" fillId="0" borderId="11" xfId="0" applyNumberFormat="1" applyFont="1" applyBorder="1" applyAlignment="1">
      <alignment wrapText="1"/>
    </xf>
    <xf numFmtId="175" fontId="0" fillId="0" borderId="6" xfId="0" applyNumberFormat="1" applyFont="1" applyBorder="1" applyAlignment="1">
      <alignment wrapText="1"/>
    </xf>
    <xf numFmtId="176" fontId="0" fillId="0" borderId="6" xfId="0" applyNumberFormat="1" applyFont="1" applyBorder="1" applyAlignment="1">
      <alignment wrapText="1"/>
    </xf>
    <xf numFmtId="174" fontId="0" fillId="0" borderId="6" xfId="0" applyNumberFormat="1" applyFont="1" applyBorder="1" applyAlignment="1">
      <alignment wrapText="1"/>
    </xf>
    <xf numFmtId="177" fontId="0" fillId="0" borderId="6" xfId="0" applyNumberFormat="1" applyFont="1" applyBorder="1" applyAlignment="1">
      <alignment wrapText="1"/>
    </xf>
    <xf numFmtId="178" fontId="0" fillId="0" borderId="6" xfId="0" applyNumberFormat="1" applyFont="1" applyBorder="1" applyAlignment="1">
      <alignment wrapText="1"/>
    </xf>
    <xf numFmtId="179" fontId="0" fillId="0" borderId="6" xfId="0" applyNumberFormat="1" applyFont="1" applyBorder="1" applyAlignment="1">
      <alignment wrapText="1"/>
    </xf>
    <xf numFmtId="180" fontId="0" fillId="0" borderId="6" xfId="0" applyNumberFormat="1" applyFont="1" applyBorder="1" applyAlignment="1">
      <alignment wrapText="1"/>
    </xf>
    <xf numFmtId="179" fontId="0" fillId="0" borderId="11" xfId="0" applyNumberFormat="1" applyFont="1" applyBorder="1" applyAlignment="1">
      <alignment wrapText="1"/>
    </xf>
    <xf numFmtId="0" fontId="0" fillId="0" borderId="6" xfId="0" applyFont="1" applyBorder="1" applyAlignment="1" quotePrefix="1">
      <alignment wrapText="1"/>
    </xf>
    <xf numFmtId="181" fontId="0" fillId="0" borderId="6" xfId="0" applyNumberFormat="1" applyFont="1" applyBorder="1" applyAlignment="1">
      <alignment wrapText="1"/>
    </xf>
    <xf numFmtId="182" fontId="0" fillId="0" borderId="6" xfId="0" applyNumberFormat="1" applyFont="1" applyBorder="1" applyAlignment="1">
      <alignment wrapText="1"/>
    </xf>
    <xf numFmtId="183" fontId="0" fillId="0" borderId="11" xfId="0" applyNumberFormat="1" applyFont="1" applyBorder="1" applyAlignment="1">
      <alignment wrapText="1"/>
    </xf>
    <xf numFmtId="184" fontId="0" fillId="0" borderId="6" xfId="0" applyNumberFormat="1" applyFont="1" applyBorder="1" applyAlignment="1">
      <alignment wrapText="1"/>
    </xf>
    <xf numFmtId="185" fontId="0" fillId="0" borderId="6" xfId="0" applyNumberFormat="1" applyFont="1" applyBorder="1" applyAlignment="1">
      <alignment wrapText="1"/>
    </xf>
    <xf numFmtId="183" fontId="0" fillId="0" borderId="6" xfId="0" applyNumberFormat="1" applyFont="1" applyBorder="1" applyAlignment="1">
      <alignment wrapText="1"/>
    </xf>
    <xf numFmtId="0" fontId="0" fillId="0" borderId="0" xfId="0" applyFont="1" applyBorder="1" applyAlignment="1" quotePrefix="1">
      <alignment wrapText="1"/>
    </xf>
    <xf numFmtId="173" fontId="0" fillId="0" borderId="0" xfId="0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81" fontId="0" fillId="0" borderId="0" xfId="0" applyNumberFormat="1" applyFont="1" applyBorder="1" applyAlignment="1">
      <alignment wrapText="1"/>
    </xf>
    <xf numFmtId="182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 wrapText="1"/>
    </xf>
    <xf numFmtId="188" fontId="0" fillId="0" borderId="6" xfId="0" applyNumberFormat="1" applyFont="1" applyBorder="1" applyAlignment="1">
      <alignment wrapText="1"/>
    </xf>
    <xf numFmtId="188" fontId="0" fillId="0" borderId="0" xfId="0" applyNumberFormat="1" applyFont="1" applyBorder="1" applyAlignment="1">
      <alignment wrapText="1"/>
    </xf>
    <xf numFmtId="183" fontId="1" fillId="2" borderId="15" xfId="0" applyNumberFormat="1" applyFont="1" applyFill="1" applyBorder="1" applyAlignment="1">
      <alignment wrapText="1"/>
    </xf>
    <xf numFmtId="183" fontId="0" fillId="0" borderId="0" xfId="0" applyNumberFormat="1" applyFont="1" applyAlignment="1">
      <alignment wrapText="1"/>
    </xf>
    <xf numFmtId="178" fontId="0" fillId="0" borderId="1" xfId="0" applyNumberFormat="1" applyFont="1" applyBorder="1" applyAlignment="1">
      <alignment wrapText="1"/>
    </xf>
    <xf numFmtId="189" fontId="0" fillId="0" borderId="17" xfId="0" applyNumberFormat="1" applyFont="1" applyBorder="1" applyAlignment="1">
      <alignment horizontal="left" vertical="center" wrapText="1"/>
    </xf>
    <xf numFmtId="190" fontId="0" fillId="0" borderId="1" xfId="0" applyNumberFormat="1" applyFont="1" applyBorder="1" applyAlignment="1">
      <alignment wrapText="1"/>
    </xf>
    <xf numFmtId="182" fontId="0" fillId="0" borderId="1" xfId="0" applyNumberFormat="1" applyFont="1" applyBorder="1" applyAlignment="1">
      <alignment wrapText="1"/>
    </xf>
    <xf numFmtId="177" fontId="0" fillId="0" borderId="1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Font="1" applyAlignment="1" quotePrefix="1">
      <alignment wrapText="1"/>
    </xf>
    <xf numFmtId="184" fontId="0" fillId="0" borderId="1" xfId="0" applyNumberFormat="1" applyFont="1" applyBorder="1" applyAlignment="1">
      <alignment wrapText="1"/>
    </xf>
    <xf numFmtId="0" fontId="1" fillId="2" borderId="12" xfId="0" applyFont="1" applyFill="1" applyBorder="1" applyAlignment="1" quotePrefix="1">
      <alignment wrapText="1"/>
    </xf>
    <xf numFmtId="0" fontId="0" fillId="0" borderId="0" xfId="0" applyFont="1" applyAlignment="1">
      <alignment wrapText="1"/>
    </xf>
    <xf numFmtId="0" fontId="1" fillId="3" borderId="8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6" fontId="0" fillId="0" borderId="11" xfId="0" applyNumberFormat="1" applyFont="1" applyBorder="1" applyAlignment="1">
      <alignment horizontal="left" wrapText="1"/>
    </xf>
    <xf numFmtId="186" fontId="0" fillId="0" borderId="6" xfId="0" applyNumberFormat="1" applyFont="1" applyBorder="1" applyAlignment="1">
      <alignment horizontal="left" wrapText="1"/>
    </xf>
    <xf numFmtId="0" fontId="11" fillId="2" borderId="19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1" fillId="9" borderId="12" xfId="0" applyNumberFormat="1" applyFont="1" applyFill="1" applyBorder="1" applyAlignment="1">
      <alignment/>
    </xf>
    <xf numFmtId="0" fontId="6" fillId="9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3" fontId="9" fillId="9" borderId="15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1" fillId="5" borderId="14" xfId="0" applyFont="1" applyFill="1" applyBorder="1" applyAlignment="1">
      <alignment horizontal="left" wrapText="1"/>
    </xf>
    <xf numFmtId="0" fontId="1" fillId="5" borderId="15" xfId="0" applyFont="1" applyFill="1" applyBorder="1" applyAlignment="1">
      <alignment horizontal="left" wrapText="1"/>
    </xf>
    <xf numFmtId="0" fontId="0" fillId="0" borderId="16" xfId="0" applyFont="1" applyBorder="1" applyAlignment="1" quotePrefix="1">
      <alignment horizontal="right" vertical="center"/>
    </xf>
    <xf numFmtId="0" fontId="0" fillId="0" borderId="7" xfId="0" applyFont="1" applyBorder="1" applyAlignment="1" quotePrefix="1">
      <alignment horizontal="right" vertical="center"/>
    </xf>
    <xf numFmtId="189" fontId="0" fillId="0" borderId="16" xfId="0" applyNumberFormat="1" applyFont="1" applyBorder="1" applyAlignment="1">
      <alignment horizontal="left" vertical="center" wrapText="1"/>
    </xf>
    <xf numFmtId="189" fontId="0" fillId="0" borderId="7" xfId="0" applyNumberFormat="1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3" fontId="8" fillId="4" borderId="16" xfId="0" applyNumberFormat="1" applyFont="1" applyFill="1" applyBorder="1" applyAlignment="1">
      <alignment horizontal="center" vertical="center"/>
    </xf>
    <xf numFmtId="3" fontId="8" fillId="4" borderId="17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7" xfId="0" applyFont="1" applyBorder="1" applyAlignment="1" quotePrefix="1">
      <alignment horizontal="righ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/>
    </xf>
    <xf numFmtId="3" fontId="0" fillId="4" borderId="16" xfId="0" applyNumberFormat="1" applyFont="1" applyFill="1" applyBorder="1" applyAlignment="1">
      <alignment horizontal="right" vertical="center"/>
    </xf>
    <xf numFmtId="3" fontId="0" fillId="4" borderId="1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50</xdr:row>
      <xdr:rowOff>133350</xdr:rowOff>
    </xdr:from>
    <xdr:to>
      <xdr:col>9</xdr:col>
      <xdr:colOff>28575</xdr:colOff>
      <xdr:row>52</xdr:row>
      <xdr:rowOff>95250</xdr:rowOff>
    </xdr:to>
    <xdr:sp>
      <xdr:nvSpPr>
        <xdr:cNvPr id="1" name="Oval 1"/>
        <xdr:cNvSpPr>
          <a:spLocks/>
        </xdr:cNvSpPr>
      </xdr:nvSpPr>
      <xdr:spPr>
        <a:xfrm>
          <a:off x="4981575" y="1076325"/>
          <a:ext cx="125730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89</xdr:row>
      <xdr:rowOff>200025</xdr:rowOff>
    </xdr:from>
    <xdr:to>
      <xdr:col>9</xdr:col>
      <xdr:colOff>38100</xdr:colOff>
      <xdr:row>91</xdr:row>
      <xdr:rowOff>85725</xdr:rowOff>
    </xdr:to>
    <xdr:sp>
      <xdr:nvSpPr>
        <xdr:cNvPr id="2" name="Oval 2"/>
        <xdr:cNvSpPr>
          <a:spLocks/>
        </xdr:cNvSpPr>
      </xdr:nvSpPr>
      <xdr:spPr>
        <a:xfrm>
          <a:off x="4991100" y="1076325"/>
          <a:ext cx="125730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172</xdr:row>
      <xdr:rowOff>152400</xdr:rowOff>
    </xdr:from>
    <xdr:to>
      <xdr:col>9</xdr:col>
      <xdr:colOff>19050</xdr:colOff>
      <xdr:row>174</xdr:row>
      <xdr:rowOff>114300</xdr:rowOff>
    </xdr:to>
    <xdr:sp>
      <xdr:nvSpPr>
        <xdr:cNvPr id="3" name="Oval 3"/>
        <xdr:cNvSpPr>
          <a:spLocks/>
        </xdr:cNvSpPr>
      </xdr:nvSpPr>
      <xdr:spPr>
        <a:xfrm>
          <a:off x="4972050" y="27098625"/>
          <a:ext cx="1257300" cy="4381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206</xdr:row>
      <xdr:rowOff>200025</xdr:rowOff>
    </xdr:from>
    <xdr:to>
      <xdr:col>9</xdr:col>
      <xdr:colOff>66675</xdr:colOff>
      <xdr:row>208</xdr:row>
      <xdr:rowOff>57150</xdr:rowOff>
    </xdr:to>
    <xdr:sp>
      <xdr:nvSpPr>
        <xdr:cNvPr id="4" name="Oval 4"/>
        <xdr:cNvSpPr>
          <a:spLocks/>
        </xdr:cNvSpPr>
      </xdr:nvSpPr>
      <xdr:spPr>
        <a:xfrm>
          <a:off x="5019675" y="27651075"/>
          <a:ext cx="125730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215</xdr:row>
      <xdr:rowOff>133350</xdr:rowOff>
    </xdr:from>
    <xdr:to>
      <xdr:col>9</xdr:col>
      <xdr:colOff>19050</xdr:colOff>
      <xdr:row>217</xdr:row>
      <xdr:rowOff>95250</xdr:rowOff>
    </xdr:to>
    <xdr:sp>
      <xdr:nvSpPr>
        <xdr:cNvPr id="5" name="Oval 5"/>
        <xdr:cNvSpPr>
          <a:spLocks/>
        </xdr:cNvSpPr>
      </xdr:nvSpPr>
      <xdr:spPr>
        <a:xfrm>
          <a:off x="4972050" y="27651075"/>
          <a:ext cx="125730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212</xdr:row>
      <xdr:rowOff>171450</xdr:rowOff>
    </xdr:from>
    <xdr:to>
      <xdr:col>9</xdr:col>
      <xdr:colOff>28575</xdr:colOff>
      <xdr:row>214</xdr:row>
      <xdr:rowOff>85725</xdr:rowOff>
    </xdr:to>
    <xdr:sp>
      <xdr:nvSpPr>
        <xdr:cNvPr id="6" name="Oval 6"/>
        <xdr:cNvSpPr>
          <a:spLocks/>
        </xdr:cNvSpPr>
      </xdr:nvSpPr>
      <xdr:spPr>
        <a:xfrm>
          <a:off x="4981575" y="27651075"/>
          <a:ext cx="125730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981075</xdr:colOff>
      <xdr:row>219</xdr:row>
      <xdr:rowOff>200025</xdr:rowOff>
    </xdr:from>
    <xdr:to>
      <xdr:col>11</xdr:col>
      <xdr:colOff>552450</xdr:colOff>
      <xdr:row>221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91375" y="27651075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 jahresbezogene Verbesserung</a:t>
          </a:r>
        </a:p>
      </xdr:txBody>
    </xdr:sp>
    <xdr:clientData/>
  </xdr:twoCellAnchor>
  <xdr:twoCellAnchor>
    <xdr:from>
      <xdr:col>9</xdr:col>
      <xdr:colOff>171450</xdr:colOff>
      <xdr:row>220</xdr:row>
      <xdr:rowOff>161925</xdr:rowOff>
    </xdr:from>
    <xdr:to>
      <xdr:col>9</xdr:col>
      <xdr:colOff>876300</xdr:colOff>
      <xdr:row>220</xdr:row>
      <xdr:rowOff>161925</xdr:rowOff>
    </xdr:to>
    <xdr:sp>
      <xdr:nvSpPr>
        <xdr:cNvPr id="8" name="Line 9"/>
        <xdr:cNvSpPr>
          <a:spLocks/>
        </xdr:cNvSpPr>
      </xdr:nvSpPr>
      <xdr:spPr>
        <a:xfrm flipH="1">
          <a:off x="6381750" y="27651075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219</xdr:row>
      <xdr:rowOff>152400</xdr:rowOff>
    </xdr:from>
    <xdr:to>
      <xdr:col>9</xdr:col>
      <xdr:colOff>85725</xdr:colOff>
      <xdr:row>221</xdr:row>
      <xdr:rowOff>114300</xdr:rowOff>
    </xdr:to>
    <xdr:sp>
      <xdr:nvSpPr>
        <xdr:cNvPr id="9" name="Oval 10"/>
        <xdr:cNvSpPr>
          <a:spLocks/>
        </xdr:cNvSpPr>
      </xdr:nvSpPr>
      <xdr:spPr>
        <a:xfrm>
          <a:off x="5038725" y="27651075"/>
          <a:ext cx="125730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221</xdr:row>
      <xdr:rowOff>0</xdr:rowOff>
    </xdr:from>
    <xdr:to>
      <xdr:col>4</xdr:col>
      <xdr:colOff>438150</xdr:colOff>
      <xdr:row>222</xdr:row>
      <xdr:rowOff>171450</xdr:rowOff>
    </xdr:to>
    <xdr:sp>
      <xdr:nvSpPr>
        <xdr:cNvPr id="10" name="Line 11"/>
        <xdr:cNvSpPr>
          <a:spLocks/>
        </xdr:cNvSpPr>
      </xdr:nvSpPr>
      <xdr:spPr>
        <a:xfrm>
          <a:off x="4667250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222</xdr:row>
      <xdr:rowOff>200025</xdr:rowOff>
    </xdr:from>
    <xdr:to>
      <xdr:col>8</xdr:col>
      <xdr:colOff>342900</xdr:colOff>
      <xdr:row>224</xdr:row>
      <xdr:rowOff>152400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895600" y="27651075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Das bedeutet einen jahresbezogenen Fehlbetrag von rd. 1,5 Mio. 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Zeros="0" tabSelected="1" zoomScale="90" zoomScaleNormal="90" workbookViewId="0" topLeftCell="A1">
      <pane ySplit="4" topLeftCell="BM147" activePane="bottomLeft" state="frozen"/>
      <selection pane="topLeft" activeCell="A1" sqref="A1"/>
      <selection pane="bottomLeft" activeCell="E98" sqref="E98"/>
    </sheetView>
  </sheetViews>
  <sheetFormatPr defaultColWidth="11.421875" defaultRowHeight="12.75"/>
  <cols>
    <col min="1" max="1" width="14.140625" style="3" bestFit="1" customWidth="1"/>
    <col min="2" max="2" width="22.7109375" style="182" customWidth="1"/>
    <col min="3" max="4" width="13.28125" style="7" bestFit="1" customWidth="1"/>
    <col min="5" max="5" width="11.57421875" style="3" bestFit="1" customWidth="1"/>
    <col min="6" max="6" width="11.421875" style="3" customWidth="1"/>
    <col min="7" max="8" width="11.421875" style="3" hidden="1" customWidth="1"/>
    <col min="9" max="9" width="6.7109375" style="16" customWidth="1"/>
    <col min="10" max="10" width="22.7109375" style="3" customWidth="1"/>
    <col min="11" max="11" width="10.28125" style="7" customWidth="1"/>
    <col min="12" max="12" width="11.421875" style="7" customWidth="1"/>
    <col min="13" max="13" width="11.00390625" style="7" customWidth="1"/>
    <col min="14" max="16384" width="11.421875" style="3" customWidth="1"/>
  </cols>
  <sheetData>
    <row r="1" spans="1:13" ht="27" customHeight="1" thickBot="1">
      <c r="A1" s="229" t="s">
        <v>245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</row>
    <row r="2" ht="18.75" thickBot="1"/>
    <row r="3" spans="1:13" s="1" customFormat="1" ht="12.75">
      <c r="A3" s="232" t="s">
        <v>0</v>
      </c>
      <c r="B3" s="234"/>
      <c r="C3" s="232" t="s">
        <v>3</v>
      </c>
      <c r="D3" s="233"/>
      <c r="E3" s="233"/>
      <c r="F3" s="233"/>
      <c r="G3" s="233"/>
      <c r="H3" s="233"/>
      <c r="I3" s="234"/>
      <c r="J3" s="232" t="s">
        <v>7</v>
      </c>
      <c r="K3" s="233"/>
      <c r="L3" s="233"/>
      <c r="M3" s="234"/>
    </row>
    <row r="4" spans="1:13" s="1" customFormat="1" ht="26.25" thickBot="1">
      <c r="A4" s="45" t="s">
        <v>1</v>
      </c>
      <c r="B4" s="186" t="s">
        <v>2</v>
      </c>
      <c r="C4" s="61" t="s">
        <v>4</v>
      </c>
      <c r="D4" s="46" t="s">
        <v>246</v>
      </c>
      <c r="E4" s="47" t="s">
        <v>5</v>
      </c>
      <c r="F4" s="47" t="s">
        <v>83</v>
      </c>
      <c r="G4" s="48" t="s">
        <v>84</v>
      </c>
      <c r="H4" s="48" t="s">
        <v>85</v>
      </c>
      <c r="I4" s="62" t="s">
        <v>6</v>
      </c>
      <c r="J4" s="63" t="s">
        <v>86</v>
      </c>
      <c r="K4" s="49" t="s">
        <v>4</v>
      </c>
      <c r="L4" s="46" t="s">
        <v>246</v>
      </c>
      <c r="M4" s="71" t="s">
        <v>5</v>
      </c>
    </row>
    <row r="5" spans="1:13" s="1" customFormat="1" ht="18" customHeight="1" hidden="1" thickBot="1">
      <c r="A5" s="38"/>
      <c r="B5" s="187"/>
      <c r="C5" s="39"/>
      <c r="D5" s="40"/>
      <c r="E5" s="38"/>
      <c r="F5" s="38"/>
      <c r="G5" s="41"/>
      <c r="H5" s="41"/>
      <c r="I5" s="42"/>
      <c r="J5" s="41"/>
      <c r="K5" s="43"/>
      <c r="L5" s="44"/>
      <c r="M5" s="43"/>
    </row>
    <row r="6" spans="1:13" ht="18" hidden="1">
      <c r="A6" s="205" t="s">
        <v>162</v>
      </c>
      <c r="B6" s="206"/>
      <c r="C6" s="206"/>
      <c r="D6" s="207"/>
      <c r="E6" s="8"/>
      <c r="F6" s="8"/>
      <c r="G6" s="110" t="str">
        <f>IF(E6-19999.99&gt;C6,"J"," ")</f>
        <v> </v>
      </c>
      <c r="H6" s="111" t="str">
        <f>IF(E6&lt;(C6-19999.99),"D"," ")</f>
        <v> </v>
      </c>
      <c r="I6" s="25" t="str">
        <f>IF(G6="J",G6,H6)</f>
        <v> </v>
      </c>
      <c r="J6" s="8"/>
      <c r="K6" s="8"/>
      <c r="L6" s="8"/>
      <c r="M6" s="8"/>
    </row>
    <row r="7" spans="1:13" s="1" customFormat="1" ht="18" customHeight="1" hidden="1" thickBot="1">
      <c r="A7" s="38"/>
      <c r="B7" s="187"/>
      <c r="C7" s="39"/>
      <c r="D7" s="40"/>
      <c r="E7" s="38"/>
      <c r="F7" s="38"/>
      <c r="G7" s="41"/>
      <c r="H7" s="41"/>
      <c r="I7" s="42"/>
      <c r="J7" s="41"/>
      <c r="K7" s="43"/>
      <c r="L7" s="44"/>
      <c r="M7" s="43"/>
    </row>
    <row r="8" spans="1:13" ht="18.75" hidden="1" thickBot="1">
      <c r="A8" s="210" t="s">
        <v>105</v>
      </c>
      <c r="B8" s="211"/>
      <c r="C8" s="66">
        <v>-458300</v>
      </c>
      <c r="D8" s="67">
        <f>0-413595</f>
        <v>-413595</v>
      </c>
      <c r="E8" s="67">
        <v>-466000</v>
      </c>
      <c r="F8" s="67">
        <f aca="true" t="shared" si="0" ref="F8:F19">E8-C8</f>
        <v>-7700</v>
      </c>
      <c r="G8" s="64" t="str">
        <f aca="true" t="shared" si="1" ref="G8:G70">IF(E8-19999.99&gt;C8,"J"," ")</f>
        <v> </v>
      </c>
      <c r="H8" s="65" t="str">
        <f aca="true" t="shared" si="2" ref="H8:H70">IF(E8&lt;(C8-19999.99),"D"," ")</f>
        <v> </v>
      </c>
      <c r="I8" s="68" t="str">
        <f aca="true" t="shared" si="3" ref="I8:I70">IF(G8="J",G8,H8)</f>
        <v> </v>
      </c>
      <c r="J8" s="66"/>
      <c r="K8" s="67"/>
      <c r="L8" s="67"/>
      <c r="M8" s="72"/>
    </row>
    <row r="9" spans="1:13" ht="18" customHeight="1" hidden="1" thickBot="1">
      <c r="A9" s="29"/>
      <c r="B9" s="162"/>
      <c r="C9" s="30"/>
      <c r="D9" s="30"/>
      <c r="E9" s="30"/>
      <c r="F9" s="30"/>
      <c r="G9" s="31" t="str">
        <f t="shared" si="1"/>
        <v> </v>
      </c>
      <c r="H9" s="32" t="str">
        <f t="shared" si="2"/>
        <v> </v>
      </c>
      <c r="I9" s="33" t="str">
        <f t="shared" si="3"/>
        <v> </v>
      </c>
      <c r="J9" s="30"/>
      <c r="K9" s="30"/>
      <c r="L9" s="30"/>
      <c r="M9" s="30"/>
    </row>
    <row r="10" spans="1:13" ht="18.75" hidden="1" thickBot="1">
      <c r="A10" s="210" t="s">
        <v>107</v>
      </c>
      <c r="B10" s="211"/>
      <c r="C10" s="66">
        <v>-415500</v>
      </c>
      <c r="D10" s="67">
        <f>200-360251</f>
        <v>-360051</v>
      </c>
      <c r="E10" s="67">
        <f>295000-730000</f>
        <v>-435000</v>
      </c>
      <c r="F10" s="67">
        <f t="shared" si="0"/>
        <v>-19500</v>
      </c>
      <c r="G10" s="194" t="str">
        <f t="shared" si="1"/>
        <v> </v>
      </c>
      <c r="H10" s="195" t="str">
        <f t="shared" si="2"/>
        <v> </v>
      </c>
      <c r="I10" s="68" t="str">
        <f t="shared" si="3"/>
        <v> </v>
      </c>
      <c r="J10" s="69" t="s">
        <v>106</v>
      </c>
      <c r="K10" s="80">
        <v>680</v>
      </c>
      <c r="L10" s="80">
        <v>741</v>
      </c>
      <c r="M10" s="81">
        <v>741</v>
      </c>
    </row>
    <row r="11" spans="1:13" ht="18" customHeight="1" hidden="1" thickBot="1">
      <c r="A11" s="29"/>
      <c r="B11" s="163"/>
      <c r="C11" s="30"/>
      <c r="D11" s="30"/>
      <c r="E11" s="30"/>
      <c r="F11" s="30"/>
      <c r="G11" s="31" t="str">
        <f t="shared" si="1"/>
        <v> </v>
      </c>
      <c r="H11" s="32" t="str">
        <f t="shared" si="2"/>
        <v> </v>
      </c>
      <c r="I11" s="33" t="str">
        <f t="shared" si="3"/>
        <v> </v>
      </c>
      <c r="J11" s="30"/>
      <c r="K11" s="30"/>
      <c r="L11" s="30"/>
      <c r="M11" s="30"/>
    </row>
    <row r="12" spans="1:13" ht="18" hidden="1">
      <c r="A12" s="34">
        <v>1112300012</v>
      </c>
      <c r="B12" s="146" t="s">
        <v>8</v>
      </c>
      <c r="C12" s="53">
        <v>-530275</v>
      </c>
      <c r="D12" s="35">
        <f>2813-200012</f>
        <v>-197199</v>
      </c>
      <c r="E12" s="35">
        <f>2813-460000</f>
        <v>-457187</v>
      </c>
      <c r="F12" s="90">
        <f t="shared" si="0"/>
        <v>73088</v>
      </c>
      <c r="G12" s="91" t="str">
        <f t="shared" si="1"/>
        <v>J</v>
      </c>
      <c r="H12" s="92" t="str">
        <f t="shared" si="2"/>
        <v> </v>
      </c>
      <c r="I12" s="93" t="str">
        <f t="shared" si="3"/>
        <v>J</v>
      </c>
      <c r="J12" s="53" t="s">
        <v>87</v>
      </c>
      <c r="K12" s="35">
        <f>329+20</f>
        <v>349</v>
      </c>
      <c r="L12" s="35">
        <v>173</v>
      </c>
      <c r="M12" s="73">
        <v>320</v>
      </c>
    </row>
    <row r="13" spans="1:13" ht="18" hidden="1">
      <c r="A13" s="18">
        <v>1112200012</v>
      </c>
      <c r="B13" s="147" t="s">
        <v>9</v>
      </c>
      <c r="C13" s="17">
        <v>-1072577</v>
      </c>
      <c r="D13" s="5">
        <f>15220-486337</f>
        <v>-471117</v>
      </c>
      <c r="E13" s="5">
        <f>160000-1130000</f>
        <v>-970000</v>
      </c>
      <c r="F13" s="86">
        <f t="shared" si="0"/>
        <v>102577</v>
      </c>
      <c r="G13" s="87" t="str">
        <f t="shared" si="1"/>
        <v>J</v>
      </c>
      <c r="H13" s="88" t="str">
        <f t="shared" si="2"/>
        <v> </v>
      </c>
      <c r="I13" s="89" t="str">
        <f t="shared" si="3"/>
        <v>J</v>
      </c>
      <c r="J13" s="17" t="s">
        <v>165</v>
      </c>
      <c r="K13" s="5">
        <v>850</v>
      </c>
      <c r="L13" s="5">
        <v>902</v>
      </c>
      <c r="M13" s="74">
        <v>902</v>
      </c>
    </row>
    <row r="14" spans="1:13" ht="18" hidden="1">
      <c r="A14" s="18">
        <v>1116100012</v>
      </c>
      <c r="B14" s="148" t="s">
        <v>10</v>
      </c>
      <c r="C14" s="17">
        <v>-328270</v>
      </c>
      <c r="D14" s="5">
        <f>239-219370</f>
        <v>-219131</v>
      </c>
      <c r="E14" s="5">
        <f>80000-400000</f>
        <v>-320000</v>
      </c>
      <c r="F14" s="13">
        <f t="shared" si="0"/>
        <v>8270</v>
      </c>
      <c r="G14" s="14" t="str">
        <f t="shared" si="1"/>
        <v> </v>
      </c>
      <c r="H14" s="15" t="str">
        <f t="shared" si="2"/>
        <v> </v>
      </c>
      <c r="I14" s="22" t="str">
        <f t="shared" si="3"/>
        <v> </v>
      </c>
      <c r="J14" s="17" t="s">
        <v>88</v>
      </c>
      <c r="K14" s="5">
        <v>300000</v>
      </c>
      <c r="L14" s="5">
        <v>194857</v>
      </c>
      <c r="M14" s="74">
        <v>340000</v>
      </c>
    </row>
    <row r="15" spans="1:13" ht="18" hidden="1">
      <c r="A15" s="18">
        <v>1116200012</v>
      </c>
      <c r="B15" s="149" t="s">
        <v>11</v>
      </c>
      <c r="C15" s="17">
        <v>-54532</v>
      </c>
      <c r="D15" s="5">
        <f>15848-32195</f>
        <v>-16347</v>
      </c>
      <c r="E15" s="5">
        <f>16000-72000</f>
        <v>-56000</v>
      </c>
      <c r="F15" s="13">
        <f t="shared" si="0"/>
        <v>-1468</v>
      </c>
      <c r="G15" s="14" t="str">
        <f t="shared" si="1"/>
        <v> </v>
      </c>
      <c r="H15" s="15" t="str">
        <f t="shared" si="2"/>
        <v> </v>
      </c>
      <c r="I15" s="22" t="str">
        <f t="shared" si="3"/>
        <v> </v>
      </c>
      <c r="J15" s="17" t="s">
        <v>89</v>
      </c>
      <c r="K15" s="5">
        <f>10000+1000+36000</f>
        <v>47000</v>
      </c>
      <c r="L15" s="5">
        <v>27079</v>
      </c>
      <c r="M15" s="74">
        <v>50000</v>
      </c>
    </row>
    <row r="16" spans="1:13" ht="18" hidden="1">
      <c r="A16" s="18">
        <v>1116300012</v>
      </c>
      <c r="B16" s="150" t="s">
        <v>12</v>
      </c>
      <c r="C16" s="17">
        <v>-220379</v>
      </c>
      <c r="D16" s="5">
        <f>1695-169182</f>
        <v>-167487</v>
      </c>
      <c r="E16" s="5">
        <f>75000-260000</f>
        <v>-185000</v>
      </c>
      <c r="F16" s="86">
        <f t="shared" si="0"/>
        <v>35379</v>
      </c>
      <c r="G16" s="87" t="str">
        <f t="shared" si="1"/>
        <v>J</v>
      </c>
      <c r="H16" s="88" t="str">
        <f t="shared" si="2"/>
        <v> </v>
      </c>
      <c r="I16" s="89" t="str">
        <f t="shared" si="3"/>
        <v>J</v>
      </c>
      <c r="J16" s="17" t="s">
        <v>90</v>
      </c>
      <c r="K16" s="5">
        <v>550</v>
      </c>
      <c r="L16" s="5"/>
      <c r="M16" s="74">
        <v>550</v>
      </c>
    </row>
    <row r="17" spans="1:13" ht="18" hidden="1">
      <c r="A17" s="18">
        <v>1116400012</v>
      </c>
      <c r="B17" s="151" t="s">
        <v>13</v>
      </c>
      <c r="C17" s="17">
        <v>-122605</v>
      </c>
      <c r="D17" s="5">
        <f>119-78183</f>
        <v>-78064</v>
      </c>
      <c r="E17" s="5">
        <f>34000-155000</f>
        <v>-121000</v>
      </c>
      <c r="F17" s="13">
        <f t="shared" si="0"/>
        <v>1605</v>
      </c>
      <c r="G17" s="14" t="str">
        <f t="shared" si="1"/>
        <v> </v>
      </c>
      <c r="H17" s="15" t="str">
        <f t="shared" si="2"/>
        <v> </v>
      </c>
      <c r="I17" s="21" t="str">
        <f t="shared" si="3"/>
        <v> </v>
      </c>
      <c r="J17" s="17"/>
      <c r="K17" s="5"/>
      <c r="L17" s="5"/>
      <c r="M17" s="74"/>
    </row>
    <row r="18" spans="1:13" ht="18" hidden="1">
      <c r="A18" s="18">
        <v>1116500012</v>
      </c>
      <c r="B18" s="152" t="s">
        <v>14</v>
      </c>
      <c r="C18" s="17">
        <v>-25814</v>
      </c>
      <c r="D18" s="5">
        <f>58-22277</f>
        <v>-22219</v>
      </c>
      <c r="E18" s="5">
        <f>37500-50000</f>
        <v>-12500</v>
      </c>
      <c r="F18" s="13">
        <f t="shared" si="0"/>
        <v>13314</v>
      </c>
      <c r="G18" s="14" t="str">
        <f t="shared" si="1"/>
        <v> </v>
      </c>
      <c r="H18" s="15" t="str">
        <f t="shared" si="2"/>
        <v> </v>
      </c>
      <c r="I18" s="22" t="str">
        <f t="shared" si="3"/>
        <v> </v>
      </c>
      <c r="J18" s="17" t="s">
        <v>91</v>
      </c>
      <c r="K18" s="5">
        <f>200000+750000</f>
        <v>950000</v>
      </c>
      <c r="L18" s="5">
        <v>470110</v>
      </c>
      <c r="M18" s="74">
        <v>940000</v>
      </c>
    </row>
    <row r="19" spans="1:13" ht="18.75" hidden="1" thickBot="1">
      <c r="A19" s="18">
        <v>1112100012</v>
      </c>
      <c r="B19" s="153" t="s">
        <v>15</v>
      </c>
      <c r="C19" s="17">
        <v>-74948</v>
      </c>
      <c r="D19" s="6">
        <f>1426-40029</f>
        <v>-38603</v>
      </c>
      <c r="E19" s="6">
        <f>32000-95000</f>
        <v>-63000</v>
      </c>
      <c r="F19" s="70">
        <f t="shared" si="0"/>
        <v>11948</v>
      </c>
      <c r="G19" s="14" t="str">
        <f t="shared" si="1"/>
        <v> </v>
      </c>
      <c r="H19" s="15" t="str">
        <f t="shared" si="2"/>
        <v> </v>
      </c>
      <c r="I19" s="22" t="str">
        <f t="shared" si="3"/>
        <v> </v>
      </c>
      <c r="J19" s="19" t="s">
        <v>92</v>
      </c>
      <c r="K19" s="6">
        <v>6</v>
      </c>
      <c r="L19" s="6"/>
      <c r="M19" s="75">
        <v>6</v>
      </c>
    </row>
    <row r="20" spans="1:13" ht="18.75" customHeight="1" hidden="1" thickBot="1">
      <c r="A20" s="210" t="s">
        <v>108</v>
      </c>
      <c r="B20" s="211"/>
      <c r="C20" s="66">
        <f>SUM(C12:C19)</f>
        <v>-2429400</v>
      </c>
      <c r="D20" s="67">
        <f>SUM(D12:D19)</f>
        <v>-1210167</v>
      </c>
      <c r="E20" s="67">
        <f>SUM(E12:E19)</f>
        <v>-2184687</v>
      </c>
      <c r="F20" s="82">
        <f>SUM(F12:F19)</f>
        <v>244713</v>
      </c>
      <c r="G20" s="83" t="str">
        <f t="shared" si="1"/>
        <v>J</v>
      </c>
      <c r="H20" s="84" t="str">
        <f t="shared" si="2"/>
        <v> </v>
      </c>
      <c r="I20" s="85" t="str">
        <f t="shared" si="3"/>
        <v>J</v>
      </c>
      <c r="J20" s="66"/>
      <c r="K20" s="67"/>
      <c r="L20" s="67"/>
      <c r="M20" s="72"/>
    </row>
    <row r="21" spans="1:13" ht="18" customHeight="1" hidden="1" thickBot="1">
      <c r="A21" s="29"/>
      <c r="B21" s="164"/>
      <c r="C21" s="30"/>
      <c r="D21" s="50"/>
      <c r="E21" s="50"/>
      <c r="F21" s="50"/>
      <c r="G21" s="31" t="str">
        <f t="shared" si="1"/>
        <v> </v>
      </c>
      <c r="H21" s="32" t="str">
        <f t="shared" si="2"/>
        <v> </v>
      </c>
      <c r="I21" s="51" t="str">
        <f t="shared" si="3"/>
        <v> </v>
      </c>
      <c r="J21" s="50"/>
      <c r="K21" s="50"/>
      <c r="L21" s="50"/>
      <c r="M21" s="50"/>
    </row>
    <row r="22" spans="1:13" ht="18" hidden="1">
      <c r="A22" s="34">
        <v>1113000013</v>
      </c>
      <c r="B22" s="154" t="s">
        <v>16</v>
      </c>
      <c r="C22" s="53">
        <v>-303600</v>
      </c>
      <c r="D22" s="56">
        <f>110-177577</f>
        <v>-177467</v>
      </c>
      <c r="E22" s="56">
        <f>40000-310000</f>
        <v>-270000</v>
      </c>
      <c r="F22" s="90">
        <f>E22-C22</f>
        <v>33600</v>
      </c>
      <c r="G22" s="91" t="str">
        <f t="shared" si="1"/>
        <v>J</v>
      </c>
      <c r="H22" s="92" t="str">
        <f t="shared" si="2"/>
        <v> </v>
      </c>
      <c r="I22" s="93" t="str">
        <f t="shared" si="3"/>
        <v>J</v>
      </c>
      <c r="J22" s="57" t="s">
        <v>93</v>
      </c>
      <c r="K22" s="56">
        <v>1750</v>
      </c>
      <c r="L22" s="56"/>
      <c r="M22" s="76">
        <v>1750</v>
      </c>
    </row>
    <row r="23" spans="1:13" ht="26.25" hidden="1">
      <c r="A23" s="18">
        <v>1115000013</v>
      </c>
      <c r="B23" s="155" t="s">
        <v>17</v>
      </c>
      <c r="C23" s="17">
        <v>-90900</v>
      </c>
      <c r="D23" s="5">
        <f>168-53804</f>
        <v>-53636</v>
      </c>
      <c r="E23" s="5">
        <f>500-100000</f>
        <v>-99500</v>
      </c>
      <c r="F23" s="70">
        <f>E23-C23</f>
        <v>-8600</v>
      </c>
      <c r="G23" s="14" t="str">
        <f t="shared" si="1"/>
        <v> </v>
      </c>
      <c r="H23" s="15" t="str">
        <f t="shared" si="2"/>
        <v> </v>
      </c>
      <c r="I23" s="22" t="str">
        <f t="shared" si="3"/>
        <v> </v>
      </c>
      <c r="J23" s="17" t="s">
        <v>117</v>
      </c>
      <c r="K23" s="5">
        <f>14+10+10+35+100</f>
        <v>169</v>
      </c>
      <c r="L23" s="5">
        <v>56</v>
      </c>
      <c r="M23" s="74">
        <v>140</v>
      </c>
    </row>
    <row r="24" spans="1:13" ht="18.75" hidden="1" thickBot="1">
      <c r="A24" s="18">
        <v>1210100013</v>
      </c>
      <c r="B24" s="156" t="s">
        <v>18</v>
      </c>
      <c r="C24" s="17">
        <v>-10700</v>
      </c>
      <c r="D24" s="5">
        <f>0-17569</f>
        <v>-17569</v>
      </c>
      <c r="E24" s="5">
        <f>0-30000</f>
        <v>-30000</v>
      </c>
      <c r="F24" s="70">
        <f>E24-C24</f>
        <v>-19300</v>
      </c>
      <c r="G24" s="14" t="str">
        <f t="shared" si="1"/>
        <v> </v>
      </c>
      <c r="H24" s="15" t="str">
        <f t="shared" si="2"/>
        <v> </v>
      </c>
      <c r="I24" s="22" t="str">
        <f t="shared" si="3"/>
        <v> </v>
      </c>
      <c r="J24" s="17" t="s">
        <v>93</v>
      </c>
      <c r="K24" s="5">
        <v>160</v>
      </c>
      <c r="L24" s="5"/>
      <c r="M24" s="74">
        <v>160</v>
      </c>
    </row>
    <row r="25" spans="1:13" ht="27" customHeight="1" hidden="1" thickBot="1">
      <c r="A25" s="210" t="s">
        <v>109</v>
      </c>
      <c r="B25" s="211"/>
      <c r="C25" s="66">
        <f>SUM(C22:C24)</f>
        <v>-405200</v>
      </c>
      <c r="D25" s="67">
        <f>SUM(D22:D24)</f>
        <v>-248672</v>
      </c>
      <c r="E25" s="67">
        <f>SUM(E22:E24)</f>
        <v>-399500</v>
      </c>
      <c r="F25" s="67">
        <f>SUM(F22:F24)</f>
        <v>5700</v>
      </c>
      <c r="G25" s="64" t="str">
        <f t="shared" si="1"/>
        <v> </v>
      </c>
      <c r="H25" s="65" t="str">
        <f t="shared" si="2"/>
        <v> </v>
      </c>
      <c r="I25" s="68" t="str">
        <f t="shared" si="3"/>
        <v> </v>
      </c>
      <c r="J25" s="66"/>
      <c r="K25" s="67"/>
      <c r="L25" s="67"/>
      <c r="M25" s="72"/>
    </row>
    <row r="26" spans="1:13" ht="18" customHeight="1" hidden="1" thickBot="1">
      <c r="A26" s="29"/>
      <c r="B26" s="165"/>
      <c r="C26" s="30"/>
      <c r="D26" s="30"/>
      <c r="E26" s="30"/>
      <c r="F26" s="30"/>
      <c r="G26" s="31" t="str">
        <f t="shared" si="1"/>
        <v> </v>
      </c>
      <c r="H26" s="32" t="str">
        <f t="shared" si="2"/>
        <v> </v>
      </c>
      <c r="I26" s="33" t="str">
        <f t="shared" si="3"/>
        <v> </v>
      </c>
      <c r="J26" s="30"/>
      <c r="K26" s="30"/>
      <c r="L26" s="30"/>
      <c r="M26" s="30"/>
    </row>
    <row r="27" spans="1:13" ht="18" hidden="1">
      <c r="A27" s="34">
        <v>1113200014</v>
      </c>
      <c r="B27" s="154" t="s">
        <v>19</v>
      </c>
      <c r="C27" s="53">
        <v>-268000</v>
      </c>
      <c r="D27" s="35">
        <f>10397-193133</f>
        <v>-182736</v>
      </c>
      <c r="E27" s="35">
        <f>100000-375000</f>
        <v>-275000</v>
      </c>
      <c r="F27" s="59">
        <f>E27-C27</f>
        <v>-7000</v>
      </c>
      <c r="G27" s="36" t="str">
        <f t="shared" si="1"/>
        <v> </v>
      </c>
      <c r="H27" s="37" t="str">
        <f t="shared" si="2"/>
        <v> </v>
      </c>
      <c r="I27" s="55" t="str">
        <f t="shared" si="3"/>
        <v> </v>
      </c>
      <c r="J27" s="53" t="s">
        <v>94</v>
      </c>
      <c r="K27" s="35">
        <f>900000+300000+18000</f>
        <v>1218000</v>
      </c>
      <c r="L27" s="35">
        <v>631764</v>
      </c>
      <c r="M27" s="73">
        <v>1250000</v>
      </c>
    </row>
    <row r="28" spans="1:13" ht="18.75" hidden="1" thickBot="1">
      <c r="A28" s="18">
        <v>1113300014</v>
      </c>
      <c r="B28" s="157" t="s">
        <v>20</v>
      </c>
      <c r="C28" s="17">
        <v>-436400</v>
      </c>
      <c r="D28" s="5">
        <f>36222-223718</f>
        <v>-187496</v>
      </c>
      <c r="E28" s="5">
        <f>88000-500000</f>
        <v>-412000</v>
      </c>
      <c r="F28" s="86">
        <f>E28-C28</f>
        <v>24400</v>
      </c>
      <c r="G28" s="87" t="str">
        <f t="shared" si="1"/>
        <v>J</v>
      </c>
      <c r="H28" s="88" t="str">
        <f t="shared" si="2"/>
        <v> </v>
      </c>
      <c r="I28" s="89" t="str">
        <f t="shared" si="3"/>
        <v>J</v>
      </c>
      <c r="J28" s="17" t="s">
        <v>163</v>
      </c>
      <c r="K28" s="5">
        <f>250000+950000</f>
        <v>1200000</v>
      </c>
      <c r="L28" s="5">
        <v>604216</v>
      </c>
      <c r="M28" s="74">
        <v>1200000</v>
      </c>
    </row>
    <row r="29" spans="1:13" ht="18.75" customHeight="1" hidden="1" thickBot="1">
      <c r="A29" s="210" t="s">
        <v>110</v>
      </c>
      <c r="B29" s="211"/>
      <c r="C29" s="66">
        <f>SUM(C27:C28)</f>
        <v>-704400</v>
      </c>
      <c r="D29" s="67">
        <f>SUM(D27:D28)</f>
        <v>-370232</v>
      </c>
      <c r="E29" s="67">
        <f>SUM(E27:E28)</f>
        <v>-687000</v>
      </c>
      <c r="F29" s="82">
        <f>SUM(F27:F28)</f>
        <v>17400</v>
      </c>
      <c r="G29" s="83" t="str">
        <f t="shared" si="1"/>
        <v> </v>
      </c>
      <c r="H29" s="84" t="str">
        <f t="shared" si="2"/>
        <v> </v>
      </c>
      <c r="I29" s="85" t="str">
        <f t="shared" si="3"/>
        <v> </v>
      </c>
      <c r="J29" s="66"/>
      <c r="K29" s="67"/>
      <c r="L29" s="67"/>
      <c r="M29" s="72"/>
    </row>
    <row r="30" spans="1:13" ht="18" customHeight="1" hidden="1" thickBot="1">
      <c r="A30" s="52"/>
      <c r="B30" s="166"/>
      <c r="C30" s="50"/>
      <c r="D30" s="50"/>
      <c r="E30" s="50"/>
      <c r="F30" s="50"/>
      <c r="G30" s="31" t="str">
        <f t="shared" si="1"/>
        <v> </v>
      </c>
      <c r="H30" s="32" t="str">
        <f t="shared" si="2"/>
        <v> </v>
      </c>
      <c r="I30" s="51" t="str">
        <f t="shared" si="3"/>
        <v> </v>
      </c>
      <c r="J30" s="50"/>
      <c r="K30" s="50"/>
      <c r="L30" s="50"/>
      <c r="M30" s="50"/>
    </row>
    <row r="31" spans="1:13" ht="27.75" customHeight="1" hidden="1" thickBot="1">
      <c r="A31" s="210" t="s">
        <v>111</v>
      </c>
      <c r="B31" s="211"/>
      <c r="C31" s="66">
        <v>-184600</v>
      </c>
      <c r="D31" s="67">
        <f>0-137464</f>
        <v>-137464</v>
      </c>
      <c r="E31" s="67">
        <f>37000-240000</f>
        <v>-203000</v>
      </c>
      <c r="F31" s="67">
        <f>E31-C31</f>
        <v>-18400</v>
      </c>
      <c r="G31" s="64" t="str">
        <f t="shared" si="1"/>
        <v> </v>
      </c>
      <c r="H31" s="65" t="str">
        <f t="shared" si="2"/>
        <v> </v>
      </c>
      <c r="I31" s="68" t="str">
        <f t="shared" si="3"/>
        <v> </v>
      </c>
      <c r="J31" s="132" t="s">
        <v>244</v>
      </c>
      <c r="K31" s="80">
        <v>400</v>
      </c>
      <c r="L31" s="80">
        <v>99</v>
      </c>
      <c r="M31" s="81">
        <v>400</v>
      </c>
    </row>
    <row r="32" spans="1:13" ht="18" customHeight="1" hidden="1" thickBot="1">
      <c r="A32" s="29"/>
      <c r="B32" s="167"/>
      <c r="C32" s="30"/>
      <c r="D32" s="30"/>
      <c r="E32" s="30"/>
      <c r="F32" s="30"/>
      <c r="G32" s="31" t="str">
        <f t="shared" si="1"/>
        <v> </v>
      </c>
      <c r="H32" s="32" t="str">
        <f t="shared" si="2"/>
        <v> </v>
      </c>
      <c r="I32" s="33" t="str">
        <f t="shared" si="3"/>
        <v> </v>
      </c>
      <c r="J32" s="30"/>
      <c r="K32" s="30"/>
      <c r="L32" s="30"/>
      <c r="M32" s="30"/>
    </row>
    <row r="33" spans="1:13" ht="18" hidden="1">
      <c r="A33" s="34">
        <v>1223000160</v>
      </c>
      <c r="B33" s="158" t="s">
        <v>21</v>
      </c>
      <c r="C33" s="53">
        <v>-336700</v>
      </c>
      <c r="D33" s="35">
        <f>36829-171423</f>
        <v>-134594</v>
      </c>
      <c r="E33" s="35">
        <f>70000-390000</f>
        <v>-320000</v>
      </c>
      <c r="F33" s="59">
        <f aca="true" t="shared" si="4" ref="F33:F39">E33-C33</f>
        <v>16700</v>
      </c>
      <c r="G33" s="36" t="str">
        <f t="shared" si="1"/>
        <v> </v>
      </c>
      <c r="H33" s="37" t="str">
        <f t="shared" si="2"/>
        <v> </v>
      </c>
      <c r="I33" s="55" t="str">
        <f t="shared" si="3"/>
        <v> </v>
      </c>
      <c r="J33" s="53" t="s">
        <v>95</v>
      </c>
      <c r="K33" s="35">
        <v>180</v>
      </c>
      <c r="L33" s="35">
        <v>41</v>
      </c>
      <c r="M33" s="73">
        <v>100</v>
      </c>
    </row>
    <row r="34" spans="1:13" ht="18" hidden="1">
      <c r="A34" s="18">
        <v>1221000160</v>
      </c>
      <c r="B34" s="159" t="s">
        <v>22</v>
      </c>
      <c r="C34" s="17">
        <v>218200</v>
      </c>
      <c r="D34" s="5">
        <f>175937-112729</f>
        <v>63208</v>
      </c>
      <c r="E34" s="5">
        <f>330000-190000</f>
        <v>140000</v>
      </c>
      <c r="F34" s="102">
        <f t="shared" si="4"/>
        <v>-78200</v>
      </c>
      <c r="G34" s="103" t="str">
        <f t="shared" si="1"/>
        <v> </v>
      </c>
      <c r="H34" s="104" t="str">
        <f t="shared" si="2"/>
        <v>D</v>
      </c>
      <c r="I34" s="105" t="str">
        <f t="shared" si="3"/>
        <v>D</v>
      </c>
      <c r="J34" s="17" t="s">
        <v>96</v>
      </c>
      <c r="K34" s="5">
        <f>7500+3500</f>
        <v>11000</v>
      </c>
      <c r="L34" s="5">
        <v>1887</v>
      </c>
      <c r="M34" s="74">
        <v>5000</v>
      </c>
    </row>
    <row r="35" spans="1:13" ht="18" hidden="1">
      <c r="A35" s="18">
        <v>1221100160</v>
      </c>
      <c r="B35" s="147" t="s">
        <v>23</v>
      </c>
      <c r="C35" s="17">
        <v>-111300</v>
      </c>
      <c r="D35" s="5">
        <f>1599-36396</f>
        <v>-34797</v>
      </c>
      <c r="E35" s="5">
        <f>10000-150000</f>
        <v>-140000</v>
      </c>
      <c r="F35" s="102">
        <f t="shared" si="4"/>
        <v>-28700</v>
      </c>
      <c r="G35" s="103" t="str">
        <f t="shared" si="1"/>
        <v> </v>
      </c>
      <c r="H35" s="104" t="str">
        <f t="shared" si="2"/>
        <v>D</v>
      </c>
      <c r="I35" s="105" t="str">
        <f t="shared" si="3"/>
        <v>D</v>
      </c>
      <c r="J35" s="17" t="s">
        <v>97</v>
      </c>
      <c r="K35" s="5">
        <f>35+35</f>
        <v>70</v>
      </c>
      <c r="L35" s="5">
        <v>43</v>
      </c>
      <c r="M35" s="74">
        <v>80</v>
      </c>
    </row>
    <row r="36" spans="1:13" ht="30" customHeight="1" hidden="1">
      <c r="A36" s="18">
        <v>1221200160</v>
      </c>
      <c r="B36" s="160" t="s">
        <v>230</v>
      </c>
      <c r="C36" s="17">
        <v>-105600</v>
      </c>
      <c r="D36" s="5">
        <f>103872-115712</f>
        <v>-11840</v>
      </c>
      <c r="E36" s="5">
        <f>120000-230000</f>
        <v>-110000</v>
      </c>
      <c r="F36" s="70">
        <f t="shared" si="4"/>
        <v>-4400</v>
      </c>
      <c r="G36" s="14" t="str">
        <f t="shared" si="1"/>
        <v> </v>
      </c>
      <c r="H36" s="15" t="str">
        <f t="shared" si="2"/>
        <v> </v>
      </c>
      <c r="I36" s="22" t="str">
        <f t="shared" si="3"/>
        <v> </v>
      </c>
      <c r="J36" s="17" t="s">
        <v>98</v>
      </c>
      <c r="K36" s="5">
        <v>700</v>
      </c>
      <c r="L36" s="5">
        <v>666</v>
      </c>
      <c r="M36" s="74">
        <v>700</v>
      </c>
    </row>
    <row r="37" spans="1:13" ht="28.5" customHeight="1" hidden="1">
      <c r="A37" s="18">
        <v>1261000160</v>
      </c>
      <c r="B37" s="147" t="s">
        <v>236</v>
      </c>
      <c r="C37" s="17">
        <v>-848800</v>
      </c>
      <c r="D37" s="5">
        <f>71151-712989</f>
        <v>-641838</v>
      </c>
      <c r="E37" s="5">
        <f>250000-1100000</f>
        <v>-850000</v>
      </c>
      <c r="F37" s="13">
        <f t="shared" si="4"/>
        <v>-1200</v>
      </c>
      <c r="G37" s="14" t="str">
        <f t="shared" si="1"/>
        <v> </v>
      </c>
      <c r="H37" s="15" t="str">
        <f t="shared" si="2"/>
        <v> </v>
      </c>
      <c r="I37" s="21" t="str">
        <f t="shared" si="3"/>
        <v> </v>
      </c>
      <c r="J37" s="17" t="s">
        <v>99</v>
      </c>
      <c r="K37" s="5">
        <v>120</v>
      </c>
      <c r="L37" s="5"/>
      <c r="M37" s="74">
        <v>120</v>
      </c>
    </row>
    <row r="38" spans="1:13" ht="18" hidden="1">
      <c r="A38" s="18">
        <v>1281000160</v>
      </c>
      <c r="B38" s="147" t="s">
        <v>166</v>
      </c>
      <c r="C38" s="17">
        <v>-60700</v>
      </c>
      <c r="D38" s="5">
        <f>0-38812</f>
        <v>-38812</v>
      </c>
      <c r="E38" s="5">
        <f>0-61000</f>
        <v>-61000</v>
      </c>
      <c r="F38" s="13">
        <f>E38-C38</f>
        <v>-300</v>
      </c>
      <c r="G38" s="14" t="str">
        <f>IF(E38-19999.99&gt;C38,"J"," ")</f>
        <v> </v>
      </c>
      <c r="H38" s="15" t="str">
        <f>IF(E38&lt;(C38-19999.99),"D"," ")</f>
        <v> </v>
      </c>
      <c r="I38" s="21" t="str">
        <f>IF(G38="J",G38,H38)</f>
        <v> </v>
      </c>
      <c r="J38" s="17" t="s">
        <v>167</v>
      </c>
      <c r="K38" s="5">
        <v>100</v>
      </c>
      <c r="L38" s="5">
        <v>114</v>
      </c>
      <c r="M38" s="74">
        <v>114</v>
      </c>
    </row>
    <row r="39" spans="1:13" ht="18.75" hidden="1" thickBot="1">
      <c r="A39" s="18">
        <v>1271000161</v>
      </c>
      <c r="B39" s="161" t="s">
        <v>24</v>
      </c>
      <c r="C39" s="17">
        <v>0</v>
      </c>
      <c r="D39" s="5">
        <f>1906956-1646490</f>
        <v>260466</v>
      </c>
      <c r="E39" s="5">
        <f>3700000-3400000</f>
        <v>300000</v>
      </c>
      <c r="F39" s="86">
        <f t="shared" si="4"/>
        <v>300000</v>
      </c>
      <c r="G39" s="87" t="str">
        <f t="shared" si="1"/>
        <v>J</v>
      </c>
      <c r="H39" s="88" t="str">
        <f t="shared" si="2"/>
        <v> </v>
      </c>
      <c r="I39" s="89" t="str">
        <f t="shared" si="3"/>
        <v>J</v>
      </c>
      <c r="J39" s="17" t="s">
        <v>100</v>
      </c>
      <c r="K39" s="5">
        <f>10000+7000+2100</f>
        <v>19100</v>
      </c>
      <c r="L39" s="5">
        <v>6745</v>
      </c>
      <c r="M39" s="74">
        <v>19100</v>
      </c>
    </row>
    <row r="40" spans="1:13" ht="18.75" customHeight="1" hidden="1" thickBot="1">
      <c r="A40" s="210" t="s">
        <v>112</v>
      </c>
      <c r="B40" s="211"/>
      <c r="C40" s="66">
        <f>SUM(C33:C39)</f>
        <v>-1244900</v>
      </c>
      <c r="D40" s="67">
        <f>SUM(D33:D39)</f>
        <v>-538207</v>
      </c>
      <c r="E40" s="67">
        <f>SUM(E33:E39)</f>
        <v>-1041000</v>
      </c>
      <c r="F40" s="82">
        <f>SUM(F33:F39)</f>
        <v>203900</v>
      </c>
      <c r="G40" s="83" t="str">
        <f t="shared" si="1"/>
        <v>J</v>
      </c>
      <c r="H40" s="84" t="str">
        <f t="shared" si="2"/>
        <v> </v>
      </c>
      <c r="I40" s="85" t="str">
        <f t="shared" si="3"/>
        <v>J</v>
      </c>
      <c r="J40" s="66"/>
      <c r="K40" s="67"/>
      <c r="L40" s="67"/>
      <c r="M40" s="72"/>
    </row>
    <row r="41" spans="1:13" ht="18" customHeight="1" hidden="1" thickBot="1">
      <c r="A41" s="29"/>
      <c r="B41" s="168"/>
      <c r="C41" s="30"/>
      <c r="D41" s="30"/>
      <c r="E41" s="30"/>
      <c r="F41" s="30"/>
      <c r="G41" s="31" t="str">
        <f t="shared" si="1"/>
        <v> </v>
      </c>
      <c r="H41" s="32" t="str">
        <f t="shared" si="2"/>
        <v> </v>
      </c>
      <c r="I41" s="33" t="str">
        <f t="shared" si="3"/>
        <v> </v>
      </c>
      <c r="J41" s="30"/>
      <c r="K41" s="30"/>
      <c r="L41" s="30"/>
      <c r="M41" s="30"/>
    </row>
    <row r="42" spans="1:13" ht="28.5" customHeight="1" hidden="1">
      <c r="A42" s="34">
        <v>1221300170</v>
      </c>
      <c r="B42" s="188" t="s">
        <v>231</v>
      </c>
      <c r="C42" s="53">
        <v>-76100</v>
      </c>
      <c r="D42" s="35">
        <f>112956-160660</f>
        <v>-47704</v>
      </c>
      <c r="E42" s="35">
        <f>280000-330000</f>
        <v>-50000</v>
      </c>
      <c r="F42" s="90">
        <f>E42-C42</f>
        <v>26100</v>
      </c>
      <c r="G42" s="91" t="str">
        <f t="shared" si="1"/>
        <v>J</v>
      </c>
      <c r="H42" s="92" t="str">
        <f t="shared" si="2"/>
        <v> </v>
      </c>
      <c r="I42" s="93" t="str">
        <f t="shared" si="3"/>
        <v>J</v>
      </c>
      <c r="J42" s="53" t="s">
        <v>101</v>
      </c>
      <c r="K42" s="35">
        <f>500+3000+200</f>
        <v>3700</v>
      </c>
      <c r="L42" s="35">
        <v>1339</v>
      </c>
      <c r="M42" s="73">
        <v>3000</v>
      </c>
    </row>
    <row r="43" spans="1:13" ht="27" customHeight="1" hidden="1">
      <c r="A43" s="18">
        <v>1221400170</v>
      </c>
      <c r="B43" s="189" t="s">
        <v>232</v>
      </c>
      <c r="C43" s="17">
        <v>343600</v>
      </c>
      <c r="D43" s="5">
        <f>719773-508600</f>
        <v>211173</v>
      </c>
      <c r="E43" s="5">
        <f>1300000-840000</f>
        <v>460000</v>
      </c>
      <c r="F43" s="86">
        <f>E43-C43</f>
        <v>116400</v>
      </c>
      <c r="G43" s="87" t="str">
        <f t="shared" si="1"/>
        <v>J</v>
      </c>
      <c r="H43" s="88" t="str">
        <f t="shared" si="2"/>
        <v> </v>
      </c>
      <c r="I43" s="89" t="str">
        <f t="shared" si="3"/>
        <v>J</v>
      </c>
      <c r="J43" s="20" t="s">
        <v>102</v>
      </c>
      <c r="K43" s="5">
        <f>24000+27000+15000</f>
        <v>66000</v>
      </c>
      <c r="L43" s="5">
        <v>29208</v>
      </c>
      <c r="M43" s="74">
        <v>60000</v>
      </c>
    </row>
    <row r="44" spans="1:13" ht="30" customHeight="1" hidden="1">
      <c r="A44" s="18">
        <v>1221500170</v>
      </c>
      <c r="B44" s="155" t="s">
        <v>25</v>
      </c>
      <c r="C44" s="17">
        <v>-54600</v>
      </c>
      <c r="D44" s="5">
        <f>11344-44476</f>
        <v>-33132</v>
      </c>
      <c r="E44" s="5">
        <f>35000-80000</f>
        <v>-45000</v>
      </c>
      <c r="F44" s="13">
        <f>E44-C44</f>
        <v>9600</v>
      </c>
      <c r="G44" s="14" t="str">
        <f t="shared" si="1"/>
        <v> </v>
      </c>
      <c r="H44" s="15" t="str">
        <f t="shared" si="2"/>
        <v> </v>
      </c>
      <c r="I44" s="21" t="str">
        <f t="shared" si="3"/>
        <v> </v>
      </c>
      <c r="J44" s="17" t="s">
        <v>103</v>
      </c>
      <c r="K44" s="5">
        <f>200+350</f>
        <v>550</v>
      </c>
      <c r="L44" s="5">
        <v>15</v>
      </c>
      <c r="M44" s="74">
        <v>500</v>
      </c>
    </row>
    <row r="45" spans="1:13" ht="26.25" hidden="1">
      <c r="A45" s="18">
        <v>1221600170</v>
      </c>
      <c r="B45" s="155" t="s">
        <v>233</v>
      </c>
      <c r="C45" s="17">
        <v>-40100</v>
      </c>
      <c r="D45" s="5">
        <f>23220-47001</f>
        <v>-23781</v>
      </c>
      <c r="E45" s="5">
        <f>50000-95000</f>
        <v>-45000</v>
      </c>
      <c r="F45" s="13">
        <f>E45-C45</f>
        <v>-4900</v>
      </c>
      <c r="G45" s="14" t="str">
        <f t="shared" si="1"/>
        <v> </v>
      </c>
      <c r="H45" s="15" t="str">
        <f t="shared" si="2"/>
        <v> </v>
      </c>
      <c r="I45" s="21" t="str">
        <f t="shared" si="3"/>
        <v> </v>
      </c>
      <c r="J45" s="17" t="s">
        <v>103</v>
      </c>
      <c r="K45" s="5">
        <f>5+430+160</f>
        <v>595</v>
      </c>
      <c r="L45" s="5">
        <v>94</v>
      </c>
      <c r="M45" s="74">
        <v>500</v>
      </c>
    </row>
    <row r="46" spans="1:13" ht="18.75" hidden="1" thickBot="1">
      <c r="A46" s="18">
        <v>1221700171</v>
      </c>
      <c r="B46" s="169" t="s">
        <v>26</v>
      </c>
      <c r="C46" s="17">
        <v>609600</v>
      </c>
      <c r="D46" s="5">
        <f>696357-318931</f>
        <v>377426</v>
      </c>
      <c r="E46" s="5">
        <f>1300000-600000</f>
        <v>700000</v>
      </c>
      <c r="F46" s="86">
        <f>E46-C46</f>
        <v>90400</v>
      </c>
      <c r="G46" s="87" t="str">
        <f t="shared" si="1"/>
        <v>J</v>
      </c>
      <c r="H46" s="88" t="str">
        <f t="shared" si="2"/>
        <v> </v>
      </c>
      <c r="I46" s="89" t="str">
        <f t="shared" si="3"/>
        <v>J</v>
      </c>
      <c r="J46" s="17" t="s">
        <v>96</v>
      </c>
      <c r="K46" s="5">
        <f>10000+40000</f>
        <v>50000</v>
      </c>
      <c r="L46" s="5">
        <v>16676</v>
      </c>
      <c r="M46" s="74">
        <v>40000</v>
      </c>
    </row>
    <row r="47" spans="1:13" ht="18.75" customHeight="1" hidden="1" thickBot="1">
      <c r="A47" s="210" t="s">
        <v>113</v>
      </c>
      <c r="B47" s="211"/>
      <c r="C47" s="66">
        <f>SUM(C42:C46)</f>
        <v>782400</v>
      </c>
      <c r="D47" s="67">
        <f>SUM(D42:D46)</f>
        <v>483982</v>
      </c>
      <c r="E47" s="67">
        <f>SUM(E42:E46)</f>
        <v>1020000</v>
      </c>
      <c r="F47" s="82">
        <f>SUM(F42:F46)</f>
        <v>237600</v>
      </c>
      <c r="G47" s="83" t="str">
        <f t="shared" si="1"/>
        <v>J</v>
      </c>
      <c r="H47" s="84" t="str">
        <f t="shared" si="2"/>
        <v> </v>
      </c>
      <c r="I47" s="85" t="str">
        <f t="shared" si="3"/>
        <v>J</v>
      </c>
      <c r="J47" s="66"/>
      <c r="K47" s="67"/>
      <c r="L47" s="67"/>
      <c r="M47" s="72"/>
    </row>
    <row r="48" spans="1:13" ht="18" customHeight="1" hidden="1" thickBot="1">
      <c r="A48" s="29"/>
      <c r="B48" s="170"/>
      <c r="C48" s="30"/>
      <c r="D48" s="30"/>
      <c r="E48" s="30"/>
      <c r="F48" s="30"/>
      <c r="G48" s="31" t="str">
        <f t="shared" si="1"/>
        <v> </v>
      </c>
      <c r="H48" s="32" t="str">
        <f t="shared" si="2"/>
        <v> </v>
      </c>
      <c r="I48" s="33" t="str">
        <f t="shared" si="3"/>
        <v> </v>
      </c>
      <c r="J48" s="30"/>
      <c r="K48" s="30"/>
      <c r="L48" s="30"/>
      <c r="M48" s="30"/>
    </row>
    <row r="49" spans="1:13" ht="18.75" hidden="1" thickBot="1">
      <c r="A49" s="34">
        <v>1112500018</v>
      </c>
      <c r="B49" s="158" t="s">
        <v>27</v>
      </c>
      <c r="C49" s="53">
        <v>-237900</v>
      </c>
      <c r="D49" s="35">
        <f>66262-268191</f>
        <v>-201929</v>
      </c>
      <c r="E49" s="35">
        <f>207400-445300</f>
        <v>-237900</v>
      </c>
      <c r="F49" s="54">
        <f>E49-C49</f>
        <v>0</v>
      </c>
      <c r="G49" s="36" t="str">
        <f t="shared" si="1"/>
        <v> </v>
      </c>
      <c r="H49" s="37" t="str">
        <f t="shared" si="2"/>
        <v> </v>
      </c>
      <c r="I49" s="58" t="str">
        <f t="shared" si="3"/>
        <v> </v>
      </c>
      <c r="J49" s="53" t="s">
        <v>104</v>
      </c>
      <c r="K49" s="35">
        <v>106</v>
      </c>
      <c r="L49" s="35">
        <v>50</v>
      </c>
      <c r="M49" s="73">
        <v>106</v>
      </c>
    </row>
    <row r="50" spans="1:13" ht="18.75" customHeight="1" hidden="1" thickBot="1">
      <c r="A50" s="210" t="s">
        <v>114</v>
      </c>
      <c r="B50" s="211"/>
      <c r="C50" s="66">
        <f>SUM(C49)</f>
        <v>-237900</v>
      </c>
      <c r="D50" s="67">
        <f>SUM(D49)</f>
        <v>-201929</v>
      </c>
      <c r="E50" s="67">
        <f>SUM(E49)</f>
        <v>-237900</v>
      </c>
      <c r="F50" s="67">
        <f>SUM(F49)</f>
        <v>0</v>
      </c>
      <c r="G50" s="64" t="str">
        <f t="shared" si="1"/>
        <v> </v>
      </c>
      <c r="H50" s="65" t="str">
        <f t="shared" si="2"/>
        <v> </v>
      </c>
      <c r="I50" s="68" t="str">
        <f t="shared" si="3"/>
        <v> </v>
      </c>
      <c r="J50" s="66"/>
      <c r="K50" s="67"/>
      <c r="L50" s="67"/>
      <c r="M50" s="72"/>
    </row>
    <row r="51" spans="1:13" ht="18" customHeight="1" hidden="1" thickBot="1">
      <c r="A51" s="29"/>
      <c r="B51" s="168"/>
      <c r="C51" s="30"/>
      <c r="D51" s="30"/>
      <c r="E51" s="30"/>
      <c r="F51" s="30"/>
      <c r="G51" s="31" t="str">
        <f t="shared" si="1"/>
        <v> </v>
      </c>
      <c r="H51" s="32" t="str">
        <f t="shared" si="2"/>
        <v> </v>
      </c>
      <c r="I51" s="33" t="str">
        <f t="shared" si="3"/>
        <v> </v>
      </c>
      <c r="J51" s="30"/>
      <c r="K51" s="30"/>
      <c r="L51" s="30"/>
      <c r="M51" s="30"/>
    </row>
    <row r="52" spans="1:13" ht="18.75" hidden="1" thickBot="1">
      <c r="A52" s="106" t="s">
        <v>115</v>
      </c>
      <c r="B52" s="171"/>
      <c r="C52" s="107">
        <f>C8+C10+C20+C25+C29+C31+C40+C47+C50</f>
        <v>-5297800</v>
      </c>
      <c r="D52" s="108">
        <f>D8+D10+D20+D25+D29+D31+D40+D47+D50</f>
        <v>-2996335</v>
      </c>
      <c r="E52" s="108">
        <f>E8+E10+E20+E25+E29+E31+E40+E47+E50</f>
        <v>-4634087</v>
      </c>
      <c r="F52" s="60">
        <f>F8+F10+F20+F25+F29+F31+F40+F47+F50</f>
        <v>663713</v>
      </c>
      <c r="G52" s="94" t="str">
        <f t="shared" si="1"/>
        <v>J</v>
      </c>
      <c r="H52" s="95" t="str">
        <f t="shared" si="2"/>
        <v> </v>
      </c>
      <c r="I52" s="96" t="str">
        <f t="shared" si="3"/>
        <v>J</v>
      </c>
      <c r="J52" s="107"/>
      <c r="K52" s="108"/>
      <c r="L52" s="108"/>
      <c r="M52" s="109"/>
    </row>
    <row r="53" spans="1:10" ht="18" hidden="1">
      <c r="A53" s="4"/>
      <c r="B53" s="172"/>
      <c r="E53" s="7"/>
      <c r="F53" s="7"/>
      <c r="G53" s="27" t="str">
        <f t="shared" si="1"/>
        <v> </v>
      </c>
      <c r="H53" s="28" t="str">
        <f t="shared" si="2"/>
        <v> </v>
      </c>
      <c r="I53" s="23" t="str">
        <f t="shared" si="3"/>
        <v> </v>
      </c>
      <c r="J53" s="7"/>
    </row>
    <row r="54" spans="1:10" ht="18.75" hidden="1" thickBot="1">
      <c r="A54" s="4"/>
      <c r="B54" s="172"/>
      <c r="E54" s="7"/>
      <c r="F54" s="7"/>
      <c r="G54" s="14" t="str">
        <f t="shared" si="1"/>
        <v> </v>
      </c>
      <c r="H54" s="15" t="str">
        <f t="shared" si="2"/>
        <v> </v>
      </c>
      <c r="I54" s="23" t="str">
        <f t="shared" si="3"/>
        <v> </v>
      </c>
      <c r="J54" s="7"/>
    </row>
    <row r="55" spans="1:13" ht="18.75" hidden="1" thickBot="1">
      <c r="A55" s="222" t="s">
        <v>28</v>
      </c>
      <c r="B55" s="223"/>
      <c r="C55" s="223"/>
      <c r="D55" s="224"/>
      <c r="E55" s="108"/>
      <c r="F55" s="108"/>
      <c r="G55" s="135" t="str">
        <f t="shared" si="1"/>
        <v> </v>
      </c>
      <c r="H55" s="136" t="str">
        <f t="shared" si="2"/>
        <v> </v>
      </c>
      <c r="I55" s="113" t="str">
        <f t="shared" si="3"/>
        <v> </v>
      </c>
      <c r="J55" s="108"/>
      <c r="K55" s="108"/>
      <c r="L55" s="108"/>
      <c r="M55" s="108"/>
    </row>
    <row r="56" spans="1:13" s="133" customFormat="1" ht="18.75" hidden="1" thickBot="1">
      <c r="A56" s="29"/>
      <c r="B56" s="162"/>
      <c r="C56" s="30"/>
      <c r="D56" s="30"/>
      <c r="E56" s="30"/>
      <c r="F56" s="30"/>
      <c r="G56" s="31" t="str">
        <f t="shared" si="1"/>
        <v> </v>
      </c>
      <c r="H56" s="32" t="str">
        <f t="shared" si="2"/>
        <v> </v>
      </c>
      <c r="I56" s="33" t="str">
        <f t="shared" si="3"/>
        <v> </v>
      </c>
      <c r="J56" s="30"/>
      <c r="K56" s="30"/>
      <c r="L56" s="30"/>
      <c r="M56" s="30"/>
    </row>
    <row r="57" spans="1:13" ht="18.75" customHeight="1" hidden="1" thickBot="1">
      <c r="A57" s="210" t="s">
        <v>126</v>
      </c>
      <c r="B57" s="211" t="s">
        <v>29</v>
      </c>
      <c r="C57" s="66">
        <v>-488000</v>
      </c>
      <c r="D57" s="67">
        <f>2457-236311</f>
        <v>-233854</v>
      </c>
      <c r="E57" s="67">
        <f>35000-450000</f>
        <v>-415000</v>
      </c>
      <c r="F57" s="82">
        <f>E57-C57</f>
        <v>73000</v>
      </c>
      <c r="G57" s="83" t="str">
        <f t="shared" si="1"/>
        <v>J</v>
      </c>
      <c r="H57" s="84" t="str">
        <f t="shared" si="2"/>
        <v> </v>
      </c>
      <c r="I57" s="85" t="str">
        <f t="shared" si="3"/>
        <v>J</v>
      </c>
      <c r="J57" s="66"/>
      <c r="K57" s="67"/>
      <c r="L57" s="67"/>
      <c r="M57" s="72"/>
    </row>
    <row r="58" spans="1:13" ht="18" hidden="1">
      <c r="A58" s="29"/>
      <c r="B58" s="162"/>
      <c r="C58" s="30"/>
      <c r="D58" s="30"/>
      <c r="E58" s="30"/>
      <c r="F58" s="30"/>
      <c r="G58" s="31" t="str">
        <f t="shared" si="1"/>
        <v> </v>
      </c>
      <c r="H58" s="32" t="str">
        <f t="shared" si="2"/>
        <v> </v>
      </c>
      <c r="I58" s="33" t="str">
        <f t="shared" si="3"/>
        <v> </v>
      </c>
      <c r="J58" s="30"/>
      <c r="K58" s="30"/>
      <c r="L58" s="30"/>
      <c r="M58" s="30"/>
    </row>
    <row r="59" spans="1:13" ht="26.25" hidden="1">
      <c r="A59" s="2">
        <v>5610100021</v>
      </c>
      <c r="B59" s="141" t="s">
        <v>30</v>
      </c>
      <c r="C59" s="5">
        <v>-505800</v>
      </c>
      <c r="D59" s="5">
        <f>26123-307706</f>
        <v>-281583</v>
      </c>
      <c r="E59" s="5">
        <f>80000-570000</f>
        <v>-490000</v>
      </c>
      <c r="F59" s="6">
        <f aca="true" t="shared" si="5" ref="F59:F65">E59-C59</f>
        <v>15800</v>
      </c>
      <c r="G59" s="14" t="str">
        <f t="shared" si="1"/>
        <v> </v>
      </c>
      <c r="H59" s="15" t="str">
        <f t="shared" si="2"/>
        <v> </v>
      </c>
      <c r="I59" s="26" t="str">
        <f t="shared" si="3"/>
        <v> </v>
      </c>
      <c r="J59" s="77" t="s">
        <v>127</v>
      </c>
      <c r="K59" s="5">
        <v>2300</v>
      </c>
      <c r="L59" s="5">
        <v>1047</v>
      </c>
      <c r="M59" s="5">
        <v>1900</v>
      </c>
    </row>
    <row r="60" spans="1:13" ht="26.25" hidden="1">
      <c r="A60" s="2">
        <v>5610200021</v>
      </c>
      <c r="B60" s="141" t="s">
        <v>31</v>
      </c>
      <c r="C60" s="5">
        <v>-282500</v>
      </c>
      <c r="D60" s="5">
        <f>23862-134017</f>
        <v>-110155</v>
      </c>
      <c r="E60" s="5">
        <f>40000-270000</f>
        <v>-230000</v>
      </c>
      <c r="F60" s="97">
        <f t="shared" si="5"/>
        <v>52500</v>
      </c>
      <c r="G60" s="87" t="str">
        <f t="shared" si="1"/>
        <v>J</v>
      </c>
      <c r="H60" s="88" t="str">
        <f t="shared" si="2"/>
        <v> </v>
      </c>
      <c r="I60" s="98" t="str">
        <f t="shared" si="3"/>
        <v>J</v>
      </c>
      <c r="J60" s="77" t="s">
        <v>127</v>
      </c>
      <c r="K60" s="5">
        <v>660</v>
      </c>
      <c r="L60" s="5">
        <v>351</v>
      </c>
      <c r="M60" s="5">
        <v>650</v>
      </c>
    </row>
    <row r="61" spans="1:13" ht="26.25" hidden="1">
      <c r="A61" s="2">
        <v>5610300021</v>
      </c>
      <c r="B61" s="145" t="s">
        <v>32</v>
      </c>
      <c r="C61" s="5">
        <v>-112300</v>
      </c>
      <c r="D61" s="5">
        <f>6648-68490</f>
        <v>-61842</v>
      </c>
      <c r="E61" s="5">
        <f>10000-120000</f>
        <v>-110000</v>
      </c>
      <c r="F61" s="6">
        <f t="shared" si="5"/>
        <v>2300</v>
      </c>
      <c r="G61" s="14" t="str">
        <f t="shared" si="1"/>
        <v> </v>
      </c>
      <c r="H61" s="15" t="str">
        <f t="shared" si="2"/>
        <v> </v>
      </c>
      <c r="I61" s="26" t="str">
        <f t="shared" si="3"/>
        <v> </v>
      </c>
      <c r="J61" s="77" t="s">
        <v>128</v>
      </c>
      <c r="K61" s="5">
        <v>250</v>
      </c>
      <c r="L61" s="5">
        <v>97</v>
      </c>
      <c r="M61" s="5">
        <v>200</v>
      </c>
    </row>
    <row r="62" spans="1:13" ht="26.25" hidden="1">
      <c r="A62" s="2">
        <v>5540100021</v>
      </c>
      <c r="B62" s="173" t="s">
        <v>33</v>
      </c>
      <c r="C62" s="5">
        <v>-239400</v>
      </c>
      <c r="D62" s="5">
        <f>11347-126768</f>
        <v>-115421</v>
      </c>
      <c r="E62" s="5">
        <f>20000-250000</f>
        <v>-230000</v>
      </c>
      <c r="F62" s="6">
        <f t="shared" si="5"/>
        <v>9400</v>
      </c>
      <c r="G62" s="14" t="str">
        <f t="shared" si="1"/>
        <v> </v>
      </c>
      <c r="H62" s="15" t="str">
        <f t="shared" si="2"/>
        <v> </v>
      </c>
      <c r="I62" s="26" t="str">
        <f t="shared" si="3"/>
        <v> </v>
      </c>
      <c r="J62" s="77" t="s">
        <v>128</v>
      </c>
      <c r="K62" s="5">
        <v>250</v>
      </c>
      <c r="L62" s="5">
        <v>147</v>
      </c>
      <c r="M62" s="5">
        <v>260</v>
      </c>
    </row>
    <row r="63" spans="1:13" ht="18" hidden="1">
      <c r="A63" s="2">
        <v>5540200021</v>
      </c>
      <c r="B63" s="143" t="s">
        <v>34</v>
      </c>
      <c r="C63" s="5">
        <v>-16100</v>
      </c>
      <c r="D63" s="5">
        <f>0-11222</f>
        <v>-11222</v>
      </c>
      <c r="E63" s="5">
        <f>0-16000</f>
        <v>-16000</v>
      </c>
      <c r="F63" s="5">
        <f t="shared" si="5"/>
        <v>100</v>
      </c>
      <c r="G63" s="14" t="str">
        <f t="shared" si="1"/>
        <v> </v>
      </c>
      <c r="H63" s="15" t="str">
        <f t="shared" si="2"/>
        <v> </v>
      </c>
      <c r="I63" s="24" t="str">
        <f t="shared" si="3"/>
        <v> </v>
      </c>
      <c r="J63" s="5" t="s">
        <v>129</v>
      </c>
      <c r="K63" s="5">
        <v>175</v>
      </c>
      <c r="L63" s="5">
        <v>92</v>
      </c>
      <c r="M63" s="5">
        <v>170</v>
      </c>
    </row>
    <row r="64" spans="1:13" ht="26.25" hidden="1">
      <c r="A64" s="2">
        <v>4145000021</v>
      </c>
      <c r="B64" s="141" t="s">
        <v>35</v>
      </c>
      <c r="C64" s="5">
        <v>-6300</v>
      </c>
      <c r="D64" s="5">
        <f>176-4495</f>
        <v>-4319</v>
      </c>
      <c r="E64" s="5">
        <f>200-7500</f>
        <v>-7300</v>
      </c>
      <c r="F64" s="5">
        <f t="shared" si="5"/>
        <v>-1000</v>
      </c>
      <c r="G64" s="14" t="str">
        <f t="shared" si="1"/>
        <v> </v>
      </c>
      <c r="H64" s="15" t="str">
        <f t="shared" si="2"/>
        <v> </v>
      </c>
      <c r="I64" s="24" t="str">
        <f t="shared" si="3"/>
        <v> </v>
      </c>
      <c r="J64" s="5" t="s">
        <v>129</v>
      </c>
      <c r="K64" s="5">
        <v>100</v>
      </c>
      <c r="L64" s="5">
        <v>39</v>
      </c>
      <c r="M64" s="5">
        <v>80</v>
      </c>
    </row>
    <row r="65" spans="1:13" ht="27" hidden="1" thickBot="1">
      <c r="A65" s="2">
        <v>1117000021</v>
      </c>
      <c r="B65" s="141" t="s">
        <v>36</v>
      </c>
      <c r="C65" s="5">
        <v>-30500</v>
      </c>
      <c r="D65" s="5">
        <f>0-11133</f>
        <v>-11133</v>
      </c>
      <c r="E65" s="5">
        <f>0-25000</f>
        <v>-25000</v>
      </c>
      <c r="F65" s="5">
        <f t="shared" si="5"/>
        <v>5500</v>
      </c>
      <c r="G65" s="14" t="str">
        <f t="shared" si="1"/>
        <v> </v>
      </c>
      <c r="H65" s="15" t="str">
        <f t="shared" si="2"/>
        <v> </v>
      </c>
      <c r="I65" s="24" t="str">
        <f t="shared" si="3"/>
        <v> </v>
      </c>
      <c r="J65" s="77" t="s">
        <v>130</v>
      </c>
      <c r="K65" s="5">
        <v>65</v>
      </c>
      <c r="L65" s="5">
        <v>28.75</v>
      </c>
      <c r="M65" s="5">
        <v>60</v>
      </c>
    </row>
    <row r="66" spans="1:13" ht="18.75" customHeight="1" hidden="1" thickBot="1">
      <c r="A66" s="210" t="s">
        <v>131</v>
      </c>
      <c r="B66" s="211"/>
      <c r="C66" s="66">
        <f>SUM(C59:C65)</f>
        <v>-1192900</v>
      </c>
      <c r="D66" s="67">
        <f>SUM(D59:D65)</f>
        <v>-595675</v>
      </c>
      <c r="E66" s="67">
        <f>SUM(E59:E65)</f>
        <v>-1108300</v>
      </c>
      <c r="F66" s="82">
        <f>SUM(F59:F65)</f>
        <v>84600</v>
      </c>
      <c r="G66" s="83" t="str">
        <f t="shared" si="1"/>
        <v>J</v>
      </c>
      <c r="H66" s="84" t="str">
        <f t="shared" si="2"/>
        <v> </v>
      </c>
      <c r="I66" s="85" t="str">
        <f t="shared" si="3"/>
        <v>J</v>
      </c>
      <c r="J66" s="66"/>
      <c r="K66" s="67"/>
      <c r="L66" s="67"/>
      <c r="M66" s="72"/>
    </row>
    <row r="67" spans="1:13" ht="18" hidden="1">
      <c r="A67" s="29"/>
      <c r="B67" s="162"/>
      <c r="C67" s="30"/>
      <c r="D67" s="30"/>
      <c r="E67" s="30"/>
      <c r="F67" s="30"/>
      <c r="G67" s="31" t="str">
        <f t="shared" si="1"/>
        <v> </v>
      </c>
      <c r="H67" s="32" t="str">
        <f t="shared" si="2"/>
        <v> </v>
      </c>
      <c r="I67" s="33" t="str">
        <f t="shared" si="3"/>
        <v> </v>
      </c>
      <c r="J67" s="30"/>
      <c r="K67" s="30"/>
      <c r="L67" s="30"/>
      <c r="M67" s="30"/>
    </row>
    <row r="68" spans="1:13" ht="14.25" hidden="1">
      <c r="A68" s="212">
        <v>4142000024</v>
      </c>
      <c r="B68" s="214" t="s">
        <v>37</v>
      </c>
      <c r="C68" s="208">
        <v>-379000</v>
      </c>
      <c r="D68" s="208">
        <f>54401-304325</f>
        <v>-249924</v>
      </c>
      <c r="E68" s="208">
        <f>100000-480000</f>
        <v>-380000</v>
      </c>
      <c r="F68" s="228">
        <f>E68-C68</f>
        <v>-1000</v>
      </c>
      <c r="G68" s="14" t="str">
        <f t="shared" si="1"/>
        <v> </v>
      </c>
      <c r="H68" s="15" t="str">
        <f t="shared" si="2"/>
        <v> </v>
      </c>
      <c r="I68" s="203" t="str">
        <f t="shared" si="3"/>
        <v> </v>
      </c>
      <c r="J68" s="77" t="s">
        <v>172</v>
      </c>
      <c r="K68" s="5">
        <v>1500</v>
      </c>
      <c r="L68" s="5">
        <v>449</v>
      </c>
      <c r="M68" s="5">
        <v>1000</v>
      </c>
    </row>
    <row r="69" spans="1:13" ht="14.25" hidden="1">
      <c r="A69" s="213"/>
      <c r="B69" s="215"/>
      <c r="C69" s="209"/>
      <c r="D69" s="209"/>
      <c r="E69" s="209"/>
      <c r="F69" s="202"/>
      <c r="G69" s="14"/>
      <c r="H69" s="15"/>
      <c r="I69" s="204"/>
      <c r="J69" s="77" t="s">
        <v>173</v>
      </c>
      <c r="K69" s="5">
        <v>800</v>
      </c>
      <c r="L69" s="5">
        <v>196</v>
      </c>
      <c r="M69" s="5">
        <v>400</v>
      </c>
    </row>
    <row r="70" spans="1:13" ht="25.5" customHeight="1" hidden="1">
      <c r="A70" s="212">
        <v>1223100024</v>
      </c>
      <c r="B70" s="214" t="s">
        <v>38</v>
      </c>
      <c r="C70" s="208">
        <v>-409900</v>
      </c>
      <c r="D70" s="208">
        <f>8002-261485</f>
        <v>-253483</v>
      </c>
      <c r="E70" s="208">
        <f>10000-400000</f>
        <v>-390000</v>
      </c>
      <c r="F70" s="228">
        <f>E70-C70</f>
        <v>19900</v>
      </c>
      <c r="G70" s="14" t="str">
        <f t="shared" si="1"/>
        <v> </v>
      </c>
      <c r="H70" s="15" t="str">
        <f t="shared" si="2"/>
        <v> </v>
      </c>
      <c r="I70" s="203" t="str">
        <f t="shared" si="3"/>
        <v> </v>
      </c>
      <c r="J70" s="77" t="s">
        <v>235</v>
      </c>
      <c r="K70" s="5">
        <v>150</v>
      </c>
      <c r="L70" s="5">
        <v>59</v>
      </c>
      <c r="M70" s="5">
        <v>130</v>
      </c>
    </row>
    <row r="71" spans="1:13" ht="14.25" customHeight="1" hidden="1">
      <c r="A71" s="213"/>
      <c r="B71" s="215"/>
      <c r="C71" s="209"/>
      <c r="D71" s="209"/>
      <c r="E71" s="209"/>
      <c r="F71" s="202"/>
      <c r="G71" s="14"/>
      <c r="H71" s="15"/>
      <c r="I71" s="204"/>
      <c r="J71" s="77" t="s">
        <v>159</v>
      </c>
      <c r="K71" s="5">
        <v>200</v>
      </c>
      <c r="L71" s="5">
        <v>42</v>
      </c>
      <c r="M71" s="5">
        <v>100</v>
      </c>
    </row>
    <row r="72" spans="1:13" ht="14.25" hidden="1">
      <c r="A72" s="212">
        <v>1223200024</v>
      </c>
      <c r="B72" s="214" t="s">
        <v>39</v>
      </c>
      <c r="C72" s="208">
        <v>-39900</v>
      </c>
      <c r="D72" s="208">
        <f>280-28109</f>
        <v>-27829</v>
      </c>
      <c r="E72" s="208">
        <f>500-40000</f>
        <v>-39500</v>
      </c>
      <c r="F72" s="228">
        <f>E72-C72</f>
        <v>400</v>
      </c>
      <c r="G72" s="14" t="str">
        <f>IF(E72-19999.99&gt;C72,"J"," ")</f>
        <v> </v>
      </c>
      <c r="H72" s="15" t="str">
        <f>IF(E72&lt;(C72-19999.99),"D"," ")</f>
        <v> </v>
      </c>
      <c r="I72" s="203" t="str">
        <f>IF(G72="J",G72,H72)</f>
        <v> </v>
      </c>
      <c r="J72" s="5" t="s">
        <v>117</v>
      </c>
      <c r="K72" s="5">
        <v>50</v>
      </c>
      <c r="L72" s="5">
        <v>22</v>
      </c>
      <c r="M72" s="5">
        <v>50</v>
      </c>
    </row>
    <row r="73" spans="1:13" ht="14.25" hidden="1">
      <c r="A73" s="213"/>
      <c r="B73" s="215"/>
      <c r="C73" s="209"/>
      <c r="D73" s="209"/>
      <c r="E73" s="209"/>
      <c r="F73" s="202"/>
      <c r="G73" s="14" t="str">
        <f>IF(E73-19999.99&gt;C73,"J"," ")</f>
        <v> </v>
      </c>
      <c r="H73" s="15" t="str">
        <f>IF(E73&lt;(C73-19999.99),"D"," ")</f>
        <v> </v>
      </c>
      <c r="I73" s="204" t="str">
        <f>IF(G73="J",G73,H73)</f>
        <v> </v>
      </c>
      <c r="J73" s="5" t="s">
        <v>160</v>
      </c>
      <c r="K73" s="5">
        <v>25</v>
      </c>
      <c r="L73" s="5">
        <v>21</v>
      </c>
      <c r="M73" s="5">
        <v>40</v>
      </c>
    </row>
    <row r="74" spans="1:13" ht="15" customHeight="1" hidden="1" thickBot="1">
      <c r="A74" s="131">
        <v>5370100024</v>
      </c>
      <c r="B74" s="174" t="s">
        <v>168</v>
      </c>
      <c r="C74" s="130">
        <v>-34600</v>
      </c>
      <c r="D74" s="130">
        <f>25745-33413</f>
        <v>-7668</v>
      </c>
      <c r="E74" s="130">
        <f>30000-65000</f>
        <v>-35000</v>
      </c>
      <c r="F74" s="191">
        <f>E74-C74</f>
        <v>-400</v>
      </c>
      <c r="G74" s="14" t="str">
        <f>IF(E74-19999.99&gt;C74,"J"," ")</f>
        <v> </v>
      </c>
      <c r="H74" s="15" t="str">
        <f>IF(E74&lt;(C74-19999.99),"D"," ")</f>
        <v> </v>
      </c>
      <c r="I74" s="192" t="str">
        <f>IF(G74="J",G74,H74)</f>
        <v> </v>
      </c>
      <c r="J74" s="5" t="s">
        <v>169</v>
      </c>
      <c r="K74" s="5">
        <v>5</v>
      </c>
      <c r="L74" s="5">
        <v>2</v>
      </c>
      <c r="M74" s="5">
        <v>4</v>
      </c>
    </row>
    <row r="75" spans="1:13" ht="18.75" customHeight="1" hidden="1" thickBot="1">
      <c r="A75" s="210" t="s">
        <v>133</v>
      </c>
      <c r="B75" s="211"/>
      <c r="C75" s="66">
        <f>SUM(C68:C74)</f>
        <v>-863400</v>
      </c>
      <c r="D75" s="67">
        <f>SUM(D68:D74)</f>
        <v>-538904</v>
      </c>
      <c r="E75" s="67">
        <f>SUM(E68:E74)</f>
        <v>-844500</v>
      </c>
      <c r="F75" s="67">
        <f>SUM(F68:F74)</f>
        <v>18900</v>
      </c>
      <c r="G75" s="64" t="str">
        <f aca="true" t="shared" si="6" ref="G75:G175">IF(E75-19999.99&gt;C75,"J"," ")</f>
        <v> </v>
      </c>
      <c r="H75" s="65" t="str">
        <f aca="true" t="shared" si="7" ref="H75:H175">IF(E75&lt;(C75-19999.99),"D"," ")</f>
        <v> </v>
      </c>
      <c r="I75" s="68" t="str">
        <f aca="true" t="shared" si="8" ref="I75:I175">IF(G75="J",G75,H75)</f>
        <v> </v>
      </c>
      <c r="J75" s="66"/>
      <c r="K75" s="67"/>
      <c r="L75" s="67"/>
      <c r="M75" s="72"/>
    </row>
    <row r="76" spans="1:13" ht="18" hidden="1">
      <c r="A76" s="29"/>
      <c r="B76" s="162"/>
      <c r="C76" s="30"/>
      <c r="D76" s="30"/>
      <c r="E76" s="30"/>
      <c r="F76" s="30"/>
      <c r="G76" s="31" t="str">
        <f t="shared" si="6"/>
        <v> </v>
      </c>
      <c r="H76" s="32" t="str">
        <f t="shared" si="7"/>
        <v> </v>
      </c>
      <c r="I76" s="33" t="str">
        <f t="shared" si="8"/>
        <v> </v>
      </c>
      <c r="J76" s="30"/>
      <c r="K76" s="30"/>
      <c r="L76" s="30"/>
      <c r="M76" s="30"/>
    </row>
    <row r="77" spans="1:13" ht="25.5" customHeight="1" hidden="1">
      <c r="A77" s="2">
        <v>5420100251</v>
      </c>
      <c r="B77" s="175" t="s">
        <v>40</v>
      </c>
      <c r="C77" s="5">
        <v>-1692200</v>
      </c>
      <c r="D77" s="5">
        <f>104621-744417</f>
        <v>-639796</v>
      </c>
      <c r="E77" s="5">
        <f>110000-1650000</f>
        <v>-1540000</v>
      </c>
      <c r="F77" s="97">
        <f>E77-C77</f>
        <v>152200</v>
      </c>
      <c r="G77" s="87" t="str">
        <f t="shared" si="6"/>
        <v>J</v>
      </c>
      <c r="H77" s="88" t="str">
        <f t="shared" si="7"/>
        <v> </v>
      </c>
      <c r="I77" s="98" t="str">
        <f t="shared" si="8"/>
        <v>J</v>
      </c>
      <c r="J77" s="5" t="s">
        <v>93</v>
      </c>
      <c r="K77" s="5">
        <f>4000+200+4650+700+700+20+3000+10000+2500</f>
        <v>25770</v>
      </c>
      <c r="L77" s="5">
        <v>10643.78</v>
      </c>
      <c r="M77" s="5">
        <v>19000</v>
      </c>
    </row>
    <row r="78" spans="1:13" ht="18" hidden="1">
      <c r="A78" s="2">
        <v>5420200251</v>
      </c>
      <c r="B78" s="137" t="s">
        <v>41</v>
      </c>
      <c r="C78" s="5">
        <v>-151500</v>
      </c>
      <c r="D78" s="5">
        <f>1557-194923</f>
        <v>-193366</v>
      </c>
      <c r="E78" s="5">
        <f>240000-390000</f>
        <v>-150000</v>
      </c>
      <c r="F78" s="5">
        <f>E78-C78</f>
        <v>1500</v>
      </c>
      <c r="G78" s="14" t="str">
        <f t="shared" si="6"/>
        <v> </v>
      </c>
      <c r="H78" s="15" t="str">
        <f t="shared" si="7"/>
        <v> </v>
      </c>
      <c r="I78" s="24" t="str">
        <f t="shared" si="8"/>
        <v> </v>
      </c>
      <c r="J78" s="5" t="s">
        <v>93</v>
      </c>
      <c r="K78" s="5">
        <f>1000+10+10+4500+100+20+400</f>
        <v>6040</v>
      </c>
      <c r="L78" s="5">
        <v>3111.95</v>
      </c>
      <c r="M78" s="5">
        <v>6000</v>
      </c>
    </row>
    <row r="79" spans="1:13" ht="27" hidden="1" thickBot="1">
      <c r="A79" s="2">
        <v>5420300251</v>
      </c>
      <c r="B79" s="141" t="s">
        <v>42</v>
      </c>
      <c r="C79" s="5">
        <v>-88100</v>
      </c>
      <c r="D79" s="5">
        <f>5692-42186</f>
        <v>-36494</v>
      </c>
      <c r="E79" s="5">
        <f>9000-90000</f>
        <v>-81000</v>
      </c>
      <c r="F79" s="5">
        <f>E79-C79</f>
        <v>7100</v>
      </c>
      <c r="G79" s="14" t="str">
        <f t="shared" si="6"/>
        <v> </v>
      </c>
      <c r="H79" s="15" t="str">
        <f t="shared" si="7"/>
        <v> </v>
      </c>
      <c r="I79" s="24" t="str">
        <f t="shared" si="8"/>
        <v> </v>
      </c>
      <c r="J79" s="5" t="s">
        <v>132</v>
      </c>
      <c r="K79" s="5">
        <f>10+30</f>
        <v>40</v>
      </c>
      <c r="L79" s="5">
        <f>1+4</f>
        <v>5</v>
      </c>
      <c r="M79" s="5">
        <v>10</v>
      </c>
    </row>
    <row r="80" spans="1:13" ht="18.75" customHeight="1" hidden="1" thickBot="1">
      <c r="A80" s="210" t="s">
        <v>134</v>
      </c>
      <c r="B80" s="211"/>
      <c r="C80" s="66">
        <f>SUM(C77:C79)</f>
        <v>-1931800</v>
      </c>
      <c r="D80" s="67">
        <f>SUM(D77:D79)</f>
        <v>-869656</v>
      </c>
      <c r="E80" s="67">
        <f>SUM(E77:E79)</f>
        <v>-1771000</v>
      </c>
      <c r="F80" s="82">
        <f>SUM(F77:F79)</f>
        <v>160800</v>
      </c>
      <c r="G80" s="83" t="str">
        <f t="shared" si="6"/>
        <v>J</v>
      </c>
      <c r="H80" s="84" t="str">
        <f t="shared" si="7"/>
        <v> </v>
      </c>
      <c r="I80" s="85" t="str">
        <f t="shared" si="8"/>
        <v>J</v>
      </c>
      <c r="J80" s="66"/>
      <c r="K80" s="67"/>
      <c r="L80" s="67"/>
      <c r="M80" s="72"/>
    </row>
    <row r="81" spans="1:13" ht="18" hidden="1">
      <c r="A81" s="29"/>
      <c r="B81" s="162"/>
      <c r="C81" s="30"/>
      <c r="D81" s="30"/>
      <c r="E81" s="30"/>
      <c r="F81" s="30"/>
      <c r="G81" s="31" t="str">
        <f t="shared" si="6"/>
        <v> </v>
      </c>
      <c r="H81" s="32" t="str">
        <f t="shared" si="7"/>
        <v> </v>
      </c>
      <c r="I81" s="33" t="str">
        <f t="shared" si="8"/>
        <v> </v>
      </c>
      <c r="J81" s="30"/>
      <c r="K81" s="30"/>
      <c r="L81" s="30"/>
      <c r="M81" s="30"/>
    </row>
    <row r="82" spans="1:13" ht="26.25" customHeight="1" hidden="1">
      <c r="A82" s="212">
        <v>5210100026</v>
      </c>
      <c r="B82" s="214" t="s">
        <v>43</v>
      </c>
      <c r="C82" s="208">
        <v>-203300</v>
      </c>
      <c r="D82" s="208">
        <f>477352-521699</f>
        <v>-44347</v>
      </c>
      <c r="E82" s="208">
        <f>670000-870000</f>
        <v>-200000</v>
      </c>
      <c r="F82" s="228">
        <f>E82-C82</f>
        <v>3300</v>
      </c>
      <c r="G82" s="14" t="str">
        <f t="shared" si="6"/>
        <v> </v>
      </c>
      <c r="H82" s="15" t="str">
        <f t="shared" si="7"/>
        <v> </v>
      </c>
      <c r="I82" s="203" t="str">
        <f t="shared" si="8"/>
        <v> </v>
      </c>
      <c r="J82" s="77" t="s">
        <v>170</v>
      </c>
      <c r="K82" s="5">
        <v>1382</v>
      </c>
      <c r="L82" s="5">
        <v>657</v>
      </c>
      <c r="M82" s="5">
        <v>1150</v>
      </c>
    </row>
    <row r="83" spans="1:13" ht="18" customHeight="1" hidden="1">
      <c r="A83" s="213"/>
      <c r="B83" s="215"/>
      <c r="C83" s="209"/>
      <c r="D83" s="209"/>
      <c r="E83" s="209"/>
      <c r="F83" s="202"/>
      <c r="G83" s="14"/>
      <c r="H83" s="15"/>
      <c r="I83" s="204"/>
      <c r="J83" s="77" t="s">
        <v>158</v>
      </c>
      <c r="K83" s="5">
        <v>1310</v>
      </c>
      <c r="L83" s="5">
        <v>714</v>
      </c>
      <c r="M83" s="5">
        <v>1200</v>
      </c>
    </row>
    <row r="84" spans="1:13" ht="18" hidden="1">
      <c r="A84" s="2">
        <v>5230100026</v>
      </c>
      <c r="B84" s="176" t="s">
        <v>44</v>
      </c>
      <c r="C84" s="5">
        <v>-67800</v>
      </c>
      <c r="D84" s="5">
        <f>10442-52043</f>
        <v>-41601</v>
      </c>
      <c r="E84" s="5">
        <f>10000-70000</f>
        <v>-60000</v>
      </c>
      <c r="F84" s="6">
        <f>E84-C84</f>
        <v>7800</v>
      </c>
      <c r="G84" s="14" t="str">
        <f t="shared" si="6"/>
        <v> </v>
      </c>
      <c r="H84" s="15" t="str">
        <f t="shared" si="7"/>
        <v> </v>
      </c>
      <c r="I84" s="26" t="str">
        <f t="shared" si="8"/>
        <v> </v>
      </c>
      <c r="J84" s="5" t="s">
        <v>136</v>
      </c>
      <c r="K84" s="5">
        <v>165</v>
      </c>
      <c r="L84" s="5">
        <v>116</v>
      </c>
      <c r="M84" s="5">
        <v>180</v>
      </c>
    </row>
    <row r="85" spans="1:13" ht="18" hidden="1">
      <c r="A85" s="2">
        <v>5110100026</v>
      </c>
      <c r="B85" s="177" t="s">
        <v>45</v>
      </c>
      <c r="C85" s="5">
        <v>-113600</v>
      </c>
      <c r="D85" s="5">
        <f>0-63081</f>
        <v>-63081</v>
      </c>
      <c r="E85" s="5">
        <f>0-115000</f>
        <v>-115000</v>
      </c>
      <c r="F85" s="6">
        <f>E85-C85</f>
        <v>-1400</v>
      </c>
      <c r="G85" s="14" t="str">
        <f t="shared" si="6"/>
        <v> </v>
      </c>
      <c r="H85" s="15" t="str">
        <f t="shared" si="7"/>
        <v> </v>
      </c>
      <c r="I85" s="26" t="str">
        <f t="shared" si="8"/>
        <v> </v>
      </c>
      <c r="J85" s="5" t="s">
        <v>117</v>
      </c>
      <c r="K85" s="5">
        <v>145</v>
      </c>
      <c r="L85" s="5">
        <v>93</v>
      </c>
      <c r="M85" s="5">
        <v>150</v>
      </c>
    </row>
    <row r="86" spans="1:13" ht="18.75" hidden="1" thickBot="1">
      <c r="A86" s="2">
        <v>5220100026</v>
      </c>
      <c r="B86" s="176" t="s">
        <v>46</v>
      </c>
      <c r="C86" s="5">
        <v>-20400</v>
      </c>
      <c r="D86" s="5">
        <f>893-10092</f>
        <v>-9199</v>
      </c>
      <c r="E86" s="5">
        <f>1000-19000</f>
        <v>-18000</v>
      </c>
      <c r="F86" s="6">
        <f>E86-C86</f>
        <v>2400</v>
      </c>
      <c r="G86" s="14" t="str">
        <f t="shared" si="6"/>
        <v> </v>
      </c>
      <c r="H86" s="15" t="str">
        <f t="shared" si="7"/>
        <v> </v>
      </c>
      <c r="I86" s="26" t="str">
        <f t="shared" si="8"/>
        <v> </v>
      </c>
      <c r="J86" s="5" t="s">
        <v>117</v>
      </c>
      <c r="K86" s="5">
        <v>105</v>
      </c>
      <c r="L86" s="5">
        <v>102</v>
      </c>
      <c r="M86" s="5">
        <v>150</v>
      </c>
    </row>
    <row r="87" spans="1:13" ht="28.5" customHeight="1" hidden="1" thickBot="1">
      <c r="A87" s="210" t="s">
        <v>135</v>
      </c>
      <c r="B87" s="211"/>
      <c r="C87" s="66">
        <f>SUM(C82:C86)</f>
        <v>-405100</v>
      </c>
      <c r="D87" s="67">
        <f>SUM(D82:D86)</f>
        <v>-158228</v>
      </c>
      <c r="E87" s="67">
        <f>SUM(E82:E86)</f>
        <v>-393000</v>
      </c>
      <c r="F87" s="67">
        <f>SUM(F82:F86)</f>
        <v>12100</v>
      </c>
      <c r="G87" s="64" t="str">
        <f t="shared" si="6"/>
        <v> </v>
      </c>
      <c r="H87" s="65" t="str">
        <f t="shared" si="7"/>
        <v> </v>
      </c>
      <c r="I87" s="68" t="str">
        <f t="shared" si="8"/>
        <v> </v>
      </c>
      <c r="J87" s="66"/>
      <c r="K87" s="67"/>
      <c r="L87" s="67"/>
      <c r="M87" s="72"/>
    </row>
    <row r="88" spans="1:13" ht="18.75" hidden="1" thickBot="1">
      <c r="A88" s="29"/>
      <c r="B88" s="162"/>
      <c r="C88" s="30"/>
      <c r="D88" s="30"/>
      <c r="E88" s="30"/>
      <c r="F88" s="30"/>
      <c r="G88" s="31" t="str">
        <f t="shared" si="6"/>
        <v> </v>
      </c>
      <c r="H88" s="32" t="str">
        <f t="shared" si="7"/>
        <v> </v>
      </c>
      <c r="I88" s="33" t="str">
        <f t="shared" si="8"/>
        <v> </v>
      </c>
      <c r="J88" s="30"/>
      <c r="K88" s="30"/>
      <c r="L88" s="30"/>
      <c r="M88" s="30"/>
    </row>
    <row r="89" spans="1:13" ht="27" hidden="1" thickBot="1">
      <c r="A89" s="210" t="s">
        <v>164</v>
      </c>
      <c r="B89" s="211"/>
      <c r="C89" s="66">
        <v>-34100</v>
      </c>
      <c r="D89" s="67">
        <f>97984-126740</f>
        <v>-28756</v>
      </c>
      <c r="E89" s="67">
        <f>150000-210000</f>
        <v>-60000</v>
      </c>
      <c r="F89" s="193">
        <f>E89-C89</f>
        <v>-25900</v>
      </c>
      <c r="G89" s="194" t="str">
        <f>IF(E89-19999.99&gt;C89,"J"," ")</f>
        <v> </v>
      </c>
      <c r="H89" s="195" t="str">
        <f>IF(E89&lt;(C89-19999.99),"D"," ")</f>
        <v>D</v>
      </c>
      <c r="I89" s="196" t="str">
        <f>IF(G89="J",G89,H89)</f>
        <v>D</v>
      </c>
      <c r="J89" s="132" t="s">
        <v>171</v>
      </c>
      <c r="K89" s="80">
        <v>180</v>
      </c>
      <c r="L89" s="80">
        <v>159</v>
      </c>
      <c r="M89" s="81">
        <v>230</v>
      </c>
    </row>
    <row r="90" spans="1:13" ht="18.75" hidden="1" thickBot="1">
      <c r="A90" s="29"/>
      <c r="B90" s="162"/>
      <c r="C90" s="30"/>
      <c r="D90" s="30"/>
      <c r="E90" s="30"/>
      <c r="F90" s="30"/>
      <c r="G90" s="31"/>
      <c r="H90" s="32"/>
      <c r="I90" s="33"/>
      <c r="J90" s="30"/>
      <c r="K90" s="30"/>
      <c r="L90" s="30"/>
      <c r="M90" s="30"/>
    </row>
    <row r="91" spans="1:13" ht="18.75" hidden="1" thickBot="1">
      <c r="A91" s="190" t="s">
        <v>137</v>
      </c>
      <c r="B91" s="134"/>
      <c r="C91" s="197">
        <f>C57+C66+C75+C80+C87+C89</f>
        <v>-4915300</v>
      </c>
      <c r="D91" s="197">
        <f>D57+D66+D75+D80+D87+D89</f>
        <v>-2425073</v>
      </c>
      <c r="E91" s="108">
        <f>E57+E66+E75+E80+E87+E89</f>
        <v>-4591800</v>
      </c>
      <c r="F91" s="60">
        <f>F57+F66+F75+F80+F87+F89</f>
        <v>323500</v>
      </c>
      <c r="G91" s="125" t="str">
        <f t="shared" si="6"/>
        <v>J</v>
      </c>
      <c r="H91" s="126" t="str">
        <f t="shared" si="7"/>
        <v> </v>
      </c>
      <c r="I91" s="99" t="str">
        <f t="shared" si="8"/>
        <v>J</v>
      </c>
      <c r="J91" s="108"/>
      <c r="K91" s="108"/>
      <c r="L91" s="108"/>
      <c r="M91" s="108"/>
    </row>
    <row r="92" spans="1:13" s="133" customFormat="1" ht="18.75" hidden="1" thickBot="1">
      <c r="A92" s="29"/>
      <c r="B92" s="162"/>
      <c r="C92" s="30"/>
      <c r="D92" s="30"/>
      <c r="E92" s="30"/>
      <c r="F92" s="30"/>
      <c r="G92" s="31" t="str">
        <f t="shared" si="6"/>
        <v> </v>
      </c>
      <c r="H92" s="32" t="str">
        <f t="shared" si="7"/>
        <v> </v>
      </c>
      <c r="I92" s="33" t="str">
        <f t="shared" si="8"/>
        <v> </v>
      </c>
      <c r="J92" s="30"/>
      <c r="K92" s="30"/>
      <c r="L92" s="30"/>
      <c r="M92" s="30"/>
    </row>
    <row r="93" spans="1:13" ht="18.75" thickBot="1">
      <c r="A93" s="219" t="s">
        <v>47</v>
      </c>
      <c r="B93" s="220"/>
      <c r="C93" s="220"/>
      <c r="D93" s="221"/>
      <c r="E93" s="108"/>
      <c r="F93" s="108"/>
      <c r="G93" s="135" t="str">
        <f t="shared" si="6"/>
        <v> </v>
      </c>
      <c r="H93" s="136" t="str">
        <f t="shared" si="7"/>
        <v> </v>
      </c>
      <c r="I93" s="113" t="str">
        <f t="shared" si="8"/>
        <v> </v>
      </c>
      <c r="J93" s="108"/>
      <c r="K93" s="108"/>
      <c r="L93" s="108"/>
      <c r="M93" s="108"/>
    </row>
    <row r="94" spans="1:13" s="133" customFormat="1" ht="18.75" thickBot="1">
      <c r="A94" s="29"/>
      <c r="B94" s="162"/>
      <c r="C94" s="30"/>
      <c r="D94" s="30"/>
      <c r="E94" s="30"/>
      <c r="F94" s="30"/>
      <c r="G94" s="31" t="str">
        <f t="shared" si="6"/>
        <v> </v>
      </c>
      <c r="H94" s="32" t="str">
        <f t="shared" si="7"/>
        <v> </v>
      </c>
      <c r="I94" s="33" t="str">
        <f t="shared" si="8"/>
        <v> </v>
      </c>
      <c r="J94" s="30"/>
      <c r="K94" s="30"/>
      <c r="L94" s="30"/>
      <c r="M94" s="30"/>
    </row>
    <row r="95" spans="1:13" ht="18.75" customHeight="1" thickBot="1">
      <c r="A95" s="210" t="s">
        <v>138</v>
      </c>
      <c r="B95" s="211"/>
      <c r="C95" s="66">
        <v>-669100</v>
      </c>
      <c r="D95" s="67">
        <f>11616-660152</f>
        <v>-648536</v>
      </c>
      <c r="E95" s="67">
        <f>74000-730000</f>
        <v>-656000</v>
      </c>
      <c r="F95" s="67">
        <f>E95-C95</f>
        <v>13100</v>
      </c>
      <c r="G95" s="64" t="str">
        <f t="shared" si="6"/>
        <v> </v>
      </c>
      <c r="H95" s="65" t="str">
        <f t="shared" si="7"/>
        <v> </v>
      </c>
      <c r="I95" s="68" t="str">
        <f t="shared" si="8"/>
        <v> </v>
      </c>
      <c r="J95" s="66"/>
      <c r="K95" s="67"/>
      <c r="L95" s="67"/>
      <c r="M95" s="72"/>
    </row>
    <row r="96" spans="1:13" ht="18">
      <c r="A96" s="29"/>
      <c r="B96" s="162"/>
      <c r="C96" s="30"/>
      <c r="D96" s="30"/>
      <c r="E96" s="30"/>
      <c r="F96" s="30"/>
      <c r="G96" s="31" t="str">
        <f t="shared" si="6"/>
        <v> </v>
      </c>
      <c r="H96" s="32" t="str">
        <f t="shared" si="7"/>
        <v> </v>
      </c>
      <c r="I96" s="33" t="str">
        <f t="shared" si="8"/>
        <v> </v>
      </c>
      <c r="J96" s="30"/>
      <c r="K96" s="30"/>
      <c r="L96" s="30"/>
      <c r="M96" s="30"/>
    </row>
    <row r="97" spans="1:13" ht="25.5">
      <c r="A97" s="2">
        <v>2120100031</v>
      </c>
      <c r="B97" s="137" t="s">
        <v>174</v>
      </c>
      <c r="C97" s="6">
        <v>-3004800</v>
      </c>
      <c r="D97" s="6">
        <f>186062-2506563</f>
        <v>-2320501</v>
      </c>
      <c r="E97" s="6">
        <f>264000-2850000</f>
        <v>-2586000</v>
      </c>
      <c r="F97" s="86">
        <f aca="true" t="shared" si="9" ref="F97:F114">E97-C97</f>
        <v>418800</v>
      </c>
      <c r="G97" s="87" t="str">
        <f t="shared" si="6"/>
        <v>J</v>
      </c>
      <c r="H97" s="88" t="str">
        <f t="shared" si="7"/>
        <v> </v>
      </c>
      <c r="I97" s="89" t="str">
        <f t="shared" si="8"/>
        <v>J</v>
      </c>
      <c r="J97" s="6" t="s">
        <v>186</v>
      </c>
      <c r="K97" s="6">
        <f>220+190+160+600+1</f>
        <v>1171</v>
      </c>
      <c r="L97" s="6">
        <f>228+192+162+539+2</f>
        <v>1123</v>
      </c>
      <c r="M97" s="6">
        <v>1120</v>
      </c>
    </row>
    <row r="98" spans="1:13" ht="38.25">
      <c r="A98" s="2">
        <v>2130100031</v>
      </c>
      <c r="B98" s="137" t="s">
        <v>175</v>
      </c>
      <c r="C98" s="6">
        <v>-812100</v>
      </c>
      <c r="D98" s="6">
        <f>285397-1280619</f>
        <v>-995222</v>
      </c>
      <c r="E98" s="6">
        <f>315000-1377000</f>
        <v>-1062000</v>
      </c>
      <c r="F98" s="102">
        <f t="shared" si="9"/>
        <v>-249900</v>
      </c>
      <c r="G98" s="103" t="str">
        <f t="shared" si="6"/>
        <v> </v>
      </c>
      <c r="H98" s="104" t="str">
        <f t="shared" si="7"/>
        <v>D</v>
      </c>
      <c r="I98" s="105" t="str">
        <f t="shared" si="8"/>
        <v>D</v>
      </c>
      <c r="J98" s="6" t="s">
        <v>186</v>
      </c>
      <c r="K98" s="6">
        <f>400+550</f>
        <v>950</v>
      </c>
      <c r="L98" s="6">
        <f>407+556</f>
        <v>963</v>
      </c>
      <c r="M98" s="6">
        <v>960</v>
      </c>
    </row>
    <row r="99" spans="1:13" ht="25.5">
      <c r="A99" s="2">
        <v>2150100031</v>
      </c>
      <c r="B99" s="137" t="s">
        <v>176</v>
      </c>
      <c r="C99" s="6">
        <v>-2982900</v>
      </c>
      <c r="D99" s="6">
        <f>22628-2756138</f>
        <v>-2733510</v>
      </c>
      <c r="E99" s="6">
        <f>23000-3323000</f>
        <v>-3300000</v>
      </c>
      <c r="F99" s="102">
        <f t="shared" si="9"/>
        <v>-317100</v>
      </c>
      <c r="G99" s="103" t="str">
        <f t="shared" si="6"/>
        <v> </v>
      </c>
      <c r="H99" s="104" t="str">
        <f t="shared" si="7"/>
        <v>D</v>
      </c>
      <c r="I99" s="105" t="str">
        <f t="shared" si="8"/>
        <v>D</v>
      </c>
      <c r="J99" s="6" t="s">
        <v>186</v>
      </c>
      <c r="K99" s="6">
        <f>440+190+430+500+380+790+3</f>
        <v>2733</v>
      </c>
      <c r="L99" s="6">
        <f>441+376+428+499+378+806+2</f>
        <v>2930</v>
      </c>
      <c r="M99" s="6">
        <v>2900</v>
      </c>
    </row>
    <row r="100" spans="1:13" ht="38.25">
      <c r="A100" s="2">
        <v>2160100031</v>
      </c>
      <c r="B100" s="137" t="s">
        <v>177</v>
      </c>
      <c r="C100" s="6">
        <v>-542300</v>
      </c>
      <c r="D100" s="6">
        <f>38518-512476</f>
        <v>-473958</v>
      </c>
      <c r="E100" s="6">
        <f>63000-567000</f>
        <v>-504000</v>
      </c>
      <c r="F100" s="86">
        <f t="shared" si="9"/>
        <v>38300</v>
      </c>
      <c r="G100" s="87" t="str">
        <f t="shared" si="6"/>
        <v>J</v>
      </c>
      <c r="H100" s="88" t="str">
        <f t="shared" si="7"/>
        <v> </v>
      </c>
      <c r="I100" s="89" t="str">
        <f t="shared" si="8"/>
        <v>J</v>
      </c>
      <c r="J100" s="6" t="s">
        <v>186</v>
      </c>
      <c r="K100" s="6">
        <f>400</f>
        <v>400</v>
      </c>
      <c r="L100" s="6">
        <v>390</v>
      </c>
      <c r="M100" s="6">
        <v>390</v>
      </c>
    </row>
    <row r="101" spans="1:13" ht="25.5">
      <c r="A101" s="2">
        <v>2170100031</v>
      </c>
      <c r="B101" s="137" t="s">
        <v>178</v>
      </c>
      <c r="C101" s="6">
        <v>-3060300</v>
      </c>
      <c r="D101" s="6">
        <f>6747-3242842</f>
        <v>-3236095</v>
      </c>
      <c r="E101" s="6">
        <f>7000-4017000</f>
        <v>-4010000</v>
      </c>
      <c r="F101" s="102">
        <f t="shared" si="9"/>
        <v>-949700</v>
      </c>
      <c r="G101" s="103" t="str">
        <f t="shared" si="6"/>
        <v> </v>
      </c>
      <c r="H101" s="104" t="str">
        <f t="shared" si="7"/>
        <v>D</v>
      </c>
      <c r="I101" s="105" t="str">
        <f t="shared" si="8"/>
        <v>D</v>
      </c>
      <c r="J101" s="6" t="s">
        <v>186</v>
      </c>
      <c r="K101" s="6">
        <f>1200+650+2150+480</f>
        <v>4480</v>
      </c>
      <c r="L101" s="6">
        <f>1214+671+2244+389</f>
        <v>4518</v>
      </c>
      <c r="M101" s="6">
        <v>4500</v>
      </c>
    </row>
    <row r="102" spans="1:13" ht="25.5">
      <c r="A102" s="2">
        <v>2180100031</v>
      </c>
      <c r="B102" s="137" t="s">
        <v>179</v>
      </c>
      <c r="C102" s="6">
        <v>-1350000</v>
      </c>
      <c r="D102" s="6">
        <f>94168-1392047</f>
        <v>-1297879</v>
      </c>
      <c r="E102" s="6">
        <f>185000-1428000</f>
        <v>-1243000</v>
      </c>
      <c r="F102" s="86">
        <f>E102-C102</f>
        <v>107000</v>
      </c>
      <c r="G102" s="87" t="str">
        <f>IF(E102-19999.99&gt;C102,"J"," ")</f>
        <v>J</v>
      </c>
      <c r="H102" s="88" t="str">
        <f>IF(E102&lt;(C102-19999.99),"D"," ")</f>
        <v> </v>
      </c>
      <c r="I102" s="89" t="str">
        <f>IF(G102="J",G102,H102)</f>
        <v>J</v>
      </c>
      <c r="J102" s="6" t="s">
        <v>186</v>
      </c>
      <c r="K102" s="6">
        <f>1080+20</f>
        <v>1100</v>
      </c>
      <c r="L102" s="6">
        <f>1078</f>
        <v>1078</v>
      </c>
      <c r="M102" s="6">
        <v>1100</v>
      </c>
    </row>
    <row r="103" spans="1:13" ht="25.5">
      <c r="A103" s="2">
        <v>2210100031</v>
      </c>
      <c r="B103" s="137" t="s">
        <v>180</v>
      </c>
      <c r="C103" s="6">
        <v>-3668400</v>
      </c>
      <c r="D103" s="6">
        <f>149606-1996620</f>
        <v>-1847014</v>
      </c>
      <c r="E103" s="6">
        <f>163000-2280000</f>
        <v>-2117000</v>
      </c>
      <c r="F103" s="86">
        <f>E103-C103</f>
        <v>1551400</v>
      </c>
      <c r="G103" s="87" t="str">
        <f>IF(E103-19999.99&gt;C103,"J"," ")</f>
        <v>J</v>
      </c>
      <c r="H103" s="88" t="str">
        <f>IF(E103&lt;(C103-19999.99),"D"," ")</f>
        <v> </v>
      </c>
      <c r="I103" s="89" t="str">
        <f>IF(G103="J",G103,H103)</f>
        <v>J</v>
      </c>
      <c r="J103" s="6" t="s">
        <v>186</v>
      </c>
      <c r="K103" s="6">
        <f>25+220+30+150+170+25+30+5+5+10</f>
        <v>670</v>
      </c>
      <c r="L103" s="6">
        <f>26+213+33+155+174+31+74+10+3+16</f>
        <v>735</v>
      </c>
      <c r="M103" s="6">
        <v>680</v>
      </c>
    </row>
    <row r="104" spans="1:13" ht="38.25">
      <c r="A104" s="2">
        <v>2310100031</v>
      </c>
      <c r="B104" s="137" t="s">
        <v>181</v>
      </c>
      <c r="C104" s="6">
        <v>-3138700</v>
      </c>
      <c r="D104" s="6">
        <f>32110-2954484</f>
        <v>-2922374</v>
      </c>
      <c r="E104" s="6">
        <f>32000-3162000</f>
        <v>-3130000</v>
      </c>
      <c r="F104" s="70">
        <f>E104-C104</f>
        <v>8700</v>
      </c>
      <c r="G104" s="14" t="str">
        <f>IF(E104-19999.99&gt;C104,"J"," ")</f>
        <v> </v>
      </c>
      <c r="H104" s="15" t="str">
        <f>IF(E104&lt;(C104-19999.99),"D"," ")</f>
        <v> </v>
      </c>
      <c r="I104" s="22" t="str">
        <f>IF(G104="J",G104,H104)</f>
        <v> </v>
      </c>
      <c r="J104" s="6" t="s">
        <v>186</v>
      </c>
      <c r="K104" s="6">
        <f>2270+510+135+30+180</f>
        <v>3125</v>
      </c>
      <c r="L104" s="6">
        <f>2269+486+157+0+17</f>
        <v>2929</v>
      </c>
      <c r="M104" s="6">
        <v>3000</v>
      </c>
    </row>
    <row r="105" spans="1:13" ht="25.5">
      <c r="A105" s="2">
        <v>2430100031</v>
      </c>
      <c r="B105" s="137" t="s">
        <v>182</v>
      </c>
      <c r="C105" s="6">
        <v>-787400</v>
      </c>
      <c r="D105" s="6">
        <f>2943-676218</f>
        <v>-673275</v>
      </c>
      <c r="E105" s="6">
        <f>3000-997000</f>
        <v>-994000</v>
      </c>
      <c r="F105" s="102">
        <f>E105-C105</f>
        <v>-206600</v>
      </c>
      <c r="G105" s="103" t="str">
        <f>IF(E105-19999.99&gt;C105,"J"," ")</f>
        <v> </v>
      </c>
      <c r="H105" s="104" t="str">
        <f>IF(E105&lt;(C105-19999.99),"D"," ")</f>
        <v>D</v>
      </c>
      <c r="I105" s="105" t="str">
        <f>IF(G105="J",G105,H105)</f>
        <v>D</v>
      </c>
      <c r="J105" s="6" t="s">
        <v>186</v>
      </c>
      <c r="K105" s="6">
        <v>18700</v>
      </c>
      <c r="L105" s="6">
        <v>18904</v>
      </c>
      <c r="M105" s="6">
        <v>18900</v>
      </c>
    </row>
    <row r="106" spans="1:13" ht="18">
      <c r="A106" s="2">
        <v>2430200031</v>
      </c>
      <c r="B106" s="137" t="s">
        <v>49</v>
      </c>
      <c r="C106" s="6">
        <v>-627300</v>
      </c>
      <c r="D106" s="6">
        <f>9168-324272</f>
        <v>-315104</v>
      </c>
      <c r="E106" s="6">
        <f>16000-548000</f>
        <v>-532000</v>
      </c>
      <c r="F106" s="97">
        <f>E106-C106</f>
        <v>95300</v>
      </c>
      <c r="G106" s="87" t="str">
        <f>IF(E106-19999.99&gt;C106,"J"," ")</f>
        <v>J</v>
      </c>
      <c r="H106" s="88" t="str">
        <f>IF(E106&lt;(C106-19999.99),"D"," ")</f>
        <v> </v>
      </c>
      <c r="I106" s="98" t="str">
        <f>IF(G106="J",G106,H106)</f>
        <v>J</v>
      </c>
      <c r="J106" s="6" t="s">
        <v>146</v>
      </c>
      <c r="K106" s="6">
        <f>87000+49000+36000+25000+39000+10500+7500</f>
        <v>254000</v>
      </c>
      <c r="L106" s="6">
        <f>62913+29743+27809+18065+23005+5445+2108</f>
        <v>169088</v>
      </c>
      <c r="M106" s="6">
        <v>280000</v>
      </c>
    </row>
    <row r="107" spans="1:13" ht="18">
      <c r="A107" s="2">
        <v>2410100031</v>
      </c>
      <c r="B107" s="138" t="s">
        <v>48</v>
      </c>
      <c r="C107" s="6">
        <v>-5422100</v>
      </c>
      <c r="D107" s="6">
        <f>24011-3430672</f>
        <v>-3406661</v>
      </c>
      <c r="E107" s="6">
        <f>54000-5456000</f>
        <v>-5402000</v>
      </c>
      <c r="F107" s="97">
        <f t="shared" si="9"/>
        <v>20100</v>
      </c>
      <c r="G107" s="87" t="str">
        <f t="shared" si="6"/>
        <v>J</v>
      </c>
      <c r="H107" s="88" t="str">
        <f t="shared" si="7"/>
        <v> </v>
      </c>
      <c r="I107" s="98" t="str">
        <f t="shared" si="8"/>
        <v>J</v>
      </c>
      <c r="J107" s="6" t="s">
        <v>145</v>
      </c>
      <c r="K107" s="6">
        <v>9700</v>
      </c>
      <c r="L107" s="6">
        <v>9034</v>
      </c>
      <c r="M107" s="6">
        <v>9200</v>
      </c>
    </row>
    <row r="108" spans="1:13" ht="18">
      <c r="A108" s="2">
        <v>2520100031</v>
      </c>
      <c r="B108" s="138" t="s">
        <v>183</v>
      </c>
      <c r="C108" s="6">
        <v>-411900</v>
      </c>
      <c r="D108" s="6">
        <f>110468-503185</f>
        <v>-392717</v>
      </c>
      <c r="E108" s="6">
        <f>111000-605000</f>
        <v>-494000</v>
      </c>
      <c r="F108" s="102">
        <f t="shared" si="9"/>
        <v>-82100</v>
      </c>
      <c r="G108" s="103" t="str">
        <f t="shared" si="6"/>
        <v> </v>
      </c>
      <c r="H108" s="104" t="str">
        <f t="shared" si="7"/>
        <v>D</v>
      </c>
      <c r="I108" s="105" t="str">
        <f t="shared" si="8"/>
        <v>D</v>
      </c>
      <c r="J108" s="6" t="s">
        <v>187</v>
      </c>
      <c r="K108" s="6">
        <v>12000</v>
      </c>
      <c r="L108" s="6">
        <v>6549</v>
      </c>
      <c r="M108" s="6">
        <v>12000</v>
      </c>
    </row>
    <row r="109" spans="1:13" ht="18">
      <c r="A109" s="2">
        <v>2520200031</v>
      </c>
      <c r="B109" s="139" t="s">
        <v>50</v>
      </c>
      <c r="C109" s="6">
        <v>-38400</v>
      </c>
      <c r="D109" s="6">
        <f>676-21656</f>
        <v>-20980</v>
      </c>
      <c r="E109" s="6">
        <f>1000-39000</f>
        <v>-38000</v>
      </c>
      <c r="F109" s="70">
        <f t="shared" si="9"/>
        <v>400</v>
      </c>
      <c r="G109" s="14" t="str">
        <f t="shared" si="6"/>
        <v> </v>
      </c>
      <c r="H109" s="15" t="str">
        <f t="shared" si="7"/>
        <v> </v>
      </c>
      <c r="I109" s="22" t="str">
        <f t="shared" si="8"/>
        <v> </v>
      </c>
      <c r="J109" s="79" t="s">
        <v>148</v>
      </c>
      <c r="K109" s="6">
        <v>2000</v>
      </c>
      <c r="L109" s="6">
        <v>1345</v>
      </c>
      <c r="M109" s="6">
        <v>2400</v>
      </c>
    </row>
    <row r="110" spans="1:13" ht="18">
      <c r="A110" s="2">
        <v>2810100031</v>
      </c>
      <c r="B110" s="139" t="s">
        <v>237</v>
      </c>
      <c r="C110" s="6">
        <v>0</v>
      </c>
      <c r="D110" s="6">
        <f>0-1845</f>
        <v>-1845</v>
      </c>
      <c r="E110" s="6">
        <f>0-2000</f>
        <v>-2000</v>
      </c>
      <c r="F110" s="70">
        <f t="shared" si="9"/>
        <v>-2000</v>
      </c>
      <c r="G110" s="14" t="str">
        <f t="shared" si="6"/>
        <v> </v>
      </c>
      <c r="H110" s="15" t="str">
        <f t="shared" si="7"/>
        <v> </v>
      </c>
      <c r="I110" s="22" t="str">
        <f t="shared" si="8"/>
        <v> </v>
      </c>
      <c r="J110" s="79"/>
      <c r="K110" s="6"/>
      <c r="L110" s="6"/>
      <c r="M110" s="6"/>
    </row>
    <row r="111" spans="1:13" ht="18">
      <c r="A111" s="2">
        <v>1118000031</v>
      </c>
      <c r="B111" s="140" t="s">
        <v>51</v>
      </c>
      <c r="C111" s="6">
        <v>-25900</v>
      </c>
      <c r="D111" s="6">
        <f>11089-18027</f>
        <v>-6938</v>
      </c>
      <c r="E111" s="6">
        <f>11000-21000</f>
        <v>-10000</v>
      </c>
      <c r="F111" s="6">
        <f>E111-C111</f>
        <v>15900</v>
      </c>
      <c r="G111" s="14" t="str">
        <f>IF(E111-19999.99&gt;C111,"J"," ")</f>
        <v> </v>
      </c>
      <c r="H111" s="15" t="str">
        <f>IF(E111&lt;(C111-19999.99),"D"," ")</f>
        <v> </v>
      </c>
      <c r="I111" s="26" t="str">
        <f>IF(G111="J",G111,H111)</f>
        <v> </v>
      </c>
      <c r="J111" s="6" t="s">
        <v>149</v>
      </c>
      <c r="K111" s="6">
        <f>1+1+2</f>
        <v>4</v>
      </c>
      <c r="L111" s="6">
        <f>1+0+0+1</f>
        <v>2</v>
      </c>
      <c r="M111" s="6">
        <v>4</v>
      </c>
    </row>
    <row r="112" spans="1:13" ht="18">
      <c r="A112" s="2">
        <v>4210100031</v>
      </c>
      <c r="B112" s="140" t="s">
        <v>184</v>
      </c>
      <c r="C112" s="6">
        <v>-199100</v>
      </c>
      <c r="D112" s="6">
        <f>0-1592</f>
        <v>-1592</v>
      </c>
      <c r="E112" s="6">
        <f>0-199000</f>
        <v>-199000</v>
      </c>
      <c r="F112" s="6">
        <f t="shared" si="9"/>
        <v>100</v>
      </c>
      <c r="G112" s="14" t="str">
        <f t="shared" si="6"/>
        <v> </v>
      </c>
      <c r="H112" s="15" t="str">
        <f t="shared" si="7"/>
        <v> </v>
      </c>
      <c r="I112" s="26" t="str">
        <f t="shared" si="8"/>
        <v> </v>
      </c>
      <c r="J112" s="6" t="s">
        <v>188</v>
      </c>
      <c r="K112" s="6">
        <v>180</v>
      </c>
      <c r="L112" s="6">
        <v>175</v>
      </c>
      <c r="M112" s="6">
        <v>175</v>
      </c>
    </row>
    <row r="113" spans="1:13" ht="25.5">
      <c r="A113" s="2">
        <v>4240100031</v>
      </c>
      <c r="B113" s="140" t="s">
        <v>189</v>
      </c>
      <c r="C113" s="6">
        <v>-160500</v>
      </c>
      <c r="D113" s="6">
        <f>348730-676582</f>
        <v>-327852</v>
      </c>
      <c r="E113" s="6">
        <f>419000-683000</f>
        <v>-264000</v>
      </c>
      <c r="F113" s="128">
        <f t="shared" si="9"/>
        <v>-103500</v>
      </c>
      <c r="G113" s="103" t="str">
        <f t="shared" si="6"/>
        <v> </v>
      </c>
      <c r="H113" s="104" t="str">
        <f t="shared" si="7"/>
        <v>D</v>
      </c>
      <c r="I113" s="129" t="str">
        <f t="shared" si="8"/>
        <v>D</v>
      </c>
      <c r="J113" s="79" t="s">
        <v>147</v>
      </c>
      <c r="K113" s="6">
        <v>4100</v>
      </c>
      <c r="L113" s="6">
        <v>2028</v>
      </c>
      <c r="M113" s="6">
        <v>3700</v>
      </c>
    </row>
    <row r="114" spans="1:13" ht="18.75" thickBot="1">
      <c r="A114" s="2">
        <v>5470100031</v>
      </c>
      <c r="B114" s="137" t="s">
        <v>185</v>
      </c>
      <c r="C114" s="6">
        <v>-155000</v>
      </c>
      <c r="D114" s="6">
        <f>0-108</f>
        <v>-108</v>
      </c>
      <c r="E114" s="6">
        <f>0-0</f>
        <v>0</v>
      </c>
      <c r="F114" s="97">
        <f t="shared" si="9"/>
        <v>155000</v>
      </c>
      <c r="G114" s="87" t="str">
        <f t="shared" si="6"/>
        <v>J</v>
      </c>
      <c r="H114" s="88" t="str">
        <f t="shared" si="7"/>
        <v> </v>
      </c>
      <c r="I114" s="98" t="str">
        <f t="shared" si="8"/>
        <v>J</v>
      </c>
      <c r="J114" s="6"/>
      <c r="K114" s="6"/>
      <c r="L114" s="6"/>
      <c r="M114" s="6"/>
    </row>
    <row r="115" spans="1:13" ht="27.75" customHeight="1" thickBot="1">
      <c r="A115" s="210" t="s">
        <v>139</v>
      </c>
      <c r="B115" s="211"/>
      <c r="C115" s="66">
        <f>SUM(C97:C114)</f>
        <v>-26387100</v>
      </c>
      <c r="D115" s="67">
        <f>SUM(D97:D114)</f>
        <v>-20973625</v>
      </c>
      <c r="E115" s="67">
        <f>SUM(E97:E114)</f>
        <v>-25887000</v>
      </c>
      <c r="F115" s="82">
        <f>SUM(F97:F114)</f>
        <v>500100</v>
      </c>
      <c r="G115" s="83" t="str">
        <f t="shared" si="6"/>
        <v>J</v>
      </c>
      <c r="H115" s="84" t="str">
        <f t="shared" si="7"/>
        <v> </v>
      </c>
      <c r="I115" s="85" t="str">
        <f t="shared" si="8"/>
        <v>J</v>
      </c>
      <c r="J115" s="66"/>
      <c r="K115" s="67"/>
      <c r="L115" s="67"/>
      <c r="M115" s="72"/>
    </row>
    <row r="116" spans="1:13" ht="18">
      <c r="A116" s="29"/>
      <c r="B116" s="162"/>
      <c r="C116" s="30"/>
      <c r="D116" s="30"/>
      <c r="E116" s="30"/>
      <c r="F116" s="30"/>
      <c r="G116" s="31" t="str">
        <f t="shared" si="6"/>
        <v> </v>
      </c>
      <c r="H116" s="32" t="str">
        <f t="shared" si="7"/>
        <v> </v>
      </c>
      <c r="I116" s="33" t="str">
        <f t="shared" si="8"/>
        <v> </v>
      </c>
      <c r="J116" s="30"/>
      <c r="K116" s="30"/>
      <c r="L116" s="30"/>
      <c r="M116" s="30"/>
    </row>
    <row r="117" spans="1:13" ht="28.5" customHeight="1">
      <c r="A117" s="2">
        <v>3111000320</v>
      </c>
      <c r="B117" s="141" t="s">
        <v>52</v>
      </c>
      <c r="C117" s="5">
        <v>-470300</v>
      </c>
      <c r="D117" s="5">
        <f>-38554-547641</f>
        <v>-586195</v>
      </c>
      <c r="E117" s="5">
        <f>78000-949000</f>
        <v>-871000</v>
      </c>
      <c r="F117" s="102">
        <f aca="true" t="shared" si="10" ref="F117:F137">E117-C117</f>
        <v>-400700</v>
      </c>
      <c r="G117" s="103" t="str">
        <f t="shared" si="6"/>
        <v> </v>
      </c>
      <c r="H117" s="104" t="str">
        <f t="shared" si="7"/>
        <v>D</v>
      </c>
      <c r="I117" s="105" t="str">
        <f t="shared" si="8"/>
        <v>D</v>
      </c>
      <c r="J117" s="5" t="s">
        <v>117</v>
      </c>
      <c r="K117" s="5">
        <f>100+350</f>
        <v>450</v>
      </c>
      <c r="L117" s="5">
        <f>128+332</f>
        <v>460</v>
      </c>
      <c r="M117" s="5">
        <v>460</v>
      </c>
    </row>
    <row r="118" spans="1:13" ht="18">
      <c r="A118" s="2">
        <v>3112000320</v>
      </c>
      <c r="B118" s="139" t="s">
        <v>54</v>
      </c>
      <c r="C118" s="5">
        <v>-2844700</v>
      </c>
      <c r="D118" s="5">
        <f>1916308-2404528</f>
        <v>-488220</v>
      </c>
      <c r="E118" s="5">
        <f>1960000-4152000</f>
        <v>-2192000</v>
      </c>
      <c r="F118" s="86">
        <f t="shared" si="10"/>
        <v>652700</v>
      </c>
      <c r="G118" s="87" t="str">
        <f>IF(E118-19999.99&gt;C118,"J"," ")</f>
        <v>J</v>
      </c>
      <c r="H118" s="88" t="str">
        <f>IF(E118&lt;(C118-19999.99),"D"," ")</f>
        <v> </v>
      </c>
      <c r="I118" s="89" t="str">
        <f>IF(G118="J",G118,H118)</f>
        <v>J</v>
      </c>
      <c r="J118" s="5" t="s">
        <v>240</v>
      </c>
      <c r="K118" s="5">
        <v>370</v>
      </c>
      <c r="L118" s="5">
        <v>354</v>
      </c>
      <c r="M118" s="5">
        <v>360</v>
      </c>
    </row>
    <row r="119" spans="1:13" ht="25.5">
      <c r="A119" s="2">
        <v>3113000320</v>
      </c>
      <c r="B119" s="139" t="s">
        <v>55</v>
      </c>
      <c r="C119" s="5">
        <v>-18548800</v>
      </c>
      <c r="D119" s="5">
        <f>1864856-12757733</f>
        <v>-10892877</v>
      </c>
      <c r="E119" s="5">
        <f>2200000-21267000</f>
        <v>-19067000</v>
      </c>
      <c r="F119" s="102">
        <f t="shared" si="10"/>
        <v>-518200</v>
      </c>
      <c r="G119" s="103" t="str">
        <f>IF(E119-19999.99&gt;C119,"J"," ")</f>
        <v> </v>
      </c>
      <c r="H119" s="104" t="str">
        <f>IF(E119&lt;(C119-19999.99),"D"," ")</f>
        <v>D</v>
      </c>
      <c r="I119" s="105" t="str">
        <f>IF(G119="J",G119,H119)</f>
        <v>D</v>
      </c>
      <c r="J119" s="5" t="s">
        <v>117</v>
      </c>
      <c r="K119" s="5">
        <f>250+35+450+130+170+150+440+5</f>
        <v>1630</v>
      </c>
      <c r="L119" s="5">
        <f>35+0+465+230+150+145+297+2</f>
        <v>1324</v>
      </c>
      <c r="M119" s="5">
        <v>1600</v>
      </c>
    </row>
    <row r="120" spans="1:13" ht="18">
      <c r="A120" s="2">
        <v>3114000320</v>
      </c>
      <c r="B120" s="139" t="s">
        <v>190</v>
      </c>
      <c r="C120" s="5">
        <v>-881300</v>
      </c>
      <c r="D120" s="5">
        <f>221959-791990</f>
        <v>-570031</v>
      </c>
      <c r="E120" s="5">
        <f>225000-1222000</f>
        <v>-997000</v>
      </c>
      <c r="F120" s="102">
        <f t="shared" si="10"/>
        <v>-115700</v>
      </c>
      <c r="G120" s="103" t="str">
        <f>IF(E120-19999.99&gt;C120,"J"," ")</f>
        <v> </v>
      </c>
      <c r="H120" s="104" t="str">
        <f>IF(E120&lt;(C120-19999.99),"D"," ")</f>
        <v>D</v>
      </c>
      <c r="I120" s="105" t="str">
        <f>IF(G120="J",G120,H120)</f>
        <v>D</v>
      </c>
      <c r="J120" s="5" t="s">
        <v>117</v>
      </c>
      <c r="K120" s="5">
        <v>200</v>
      </c>
      <c r="L120" s="5">
        <v>218</v>
      </c>
      <c r="M120" s="5">
        <v>230</v>
      </c>
    </row>
    <row r="121" spans="1:13" ht="51">
      <c r="A121" s="2">
        <v>3115000320</v>
      </c>
      <c r="B121" s="139" t="s">
        <v>191</v>
      </c>
      <c r="C121" s="5">
        <v>-439800</v>
      </c>
      <c r="D121" s="5">
        <f>265494-329852</f>
        <v>-64358</v>
      </c>
      <c r="E121" s="5">
        <f>265000-480000</f>
        <v>-215000</v>
      </c>
      <c r="F121" s="86">
        <f t="shared" si="10"/>
        <v>224800</v>
      </c>
      <c r="G121" s="87" t="str">
        <f>IF(E121-19999.99&gt;C121,"J"," ")</f>
        <v>J</v>
      </c>
      <c r="H121" s="88" t="str">
        <f>IF(E121&lt;(C121-19999.99),"D"," ")</f>
        <v> </v>
      </c>
      <c r="I121" s="89" t="str">
        <f>IF(G121="J",G121,H121)</f>
        <v>J</v>
      </c>
      <c r="J121" s="5" t="s">
        <v>117</v>
      </c>
      <c r="K121" s="5">
        <f>40+45+3+45+10</f>
        <v>143</v>
      </c>
      <c r="L121" s="5">
        <f>40+44+3+30</f>
        <v>117</v>
      </c>
      <c r="M121" s="5">
        <v>140</v>
      </c>
    </row>
    <row r="122" spans="1:13" ht="38.25">
      <c r="A122" s="2">
        <v>3116000320</v>
      </c>
      <c r="B122" s="139" t="s">
        <v>53</v>
      </c>
      <c r="C122" s="5">
        <v>-5129700</v>
      </c>
      <c r="D122" s="5">
        <f>559295-3206364</f>
        <v>-2647069</v>
      </c>
      <c r="E122" s="5">
        <f>585000-5665000</f>
        <v>-5080000</v>
      </c>
      <c r="F122" s="86">
        <f t="shared" si="10"/>
        <v>49700</v>
      </c>
      <c r="G122" s="87" t="str">
        <f>IF(E122-19999.99&gt;C122,"J"," ")</f>
        <v>J</v>
      </c>
      <c r="H122" s="88" t="str">
        <f>IF(E122&lt;(C122-19999.99),"D"," ")</f>
        <v> </v>
      </c>
      <c r="I122" s="89" t="str">
        <f>IF(G122="J",G122,H122)</f>
        <v>J</v>
      </c>
      <c r="J122" s="5" t="s">
        <v>117</v>
      </c>
      <c r="K122" s="5">
        <f>700+320</f>
        <v>1020</v>
      </c>
      <c r="L122" s="5">
        <f>745+320</f>
        <v>1065</v>
      </c>
      <c r="M122" s="5">
        <v>1100</v>
      </c>
    </row>
    <row r="123" spans="1:13" ht="25.5">
      <c r="A123" s="2">
        <v>3117000320</v>
      </c>
      <c r="B123" s="139" t="s">
        <v>192</v>
      </c>
      <c r="C123" s="5">
        <v>17545000</v>
      </c>
      <c r="D123" s="5">
        <f>18154838-0</f>
        <v>18154838</v>
      </c>
      <c r="E123" s="5">
        <f>18170000-0</f>
        <v>18170000</v>
      </c>
      <c r="F123" s="86">
        <f t="shared" si="10"/>
        <v>625000</v>
      </c>
      <c r="G123" s="87" t="str">
        <f t="shared" si="6"/>
        <v>J</v>
      </c>
      <c r="H123" s="88" t="str">
        <f t="shared" si="7"/>
        <v> </v>
      </c>
      <c r="I123" s="89" t="str">
        <f t="shared" si="8"/>
        <v>J</v>
      </c>
      <c r="J123" s="5" t="s">
        <v>201</v>
      </c>
      <c r="K123" s="5">
        <v>69</v>
      </c>
      <c r="L123" s="5">
        <v>69</v>
      </c>
      <c r="M123" s="5">
        <v>69</v>
      </c>
    </row>
    <row r="124" spans="1:13" ht="27" customHeight="1">
      <c r="A124" s="2">
        <v>3119000320</v>
      </c>
      <c r="B124" s="139" t="s">
        <v>193</v>
      </c>
      <c r="C124" s="5">
        <v>-751100</v>
      </c>
      <c r="D124" s="5">
        <f>178002-704563</f>
        <v>-526561</v>
      </c>
      <c r="E124" s="5">
        <f>174000-1003000</f>
        <v>-829000</v>
      </c>
      <c r="F124" s="128">
        <f t="shared" si="10"/>
        <v>-77900</v>
      </c>
      <c r="G124" s="103" t="str">
        <f t="shared" si="6"/>
        <v> </v>
      </c>
      <c r="H124" s="104" t="str">
        <f t="shared" si="7"/>
        <v>D</v>
      </c>
      <c r="I124" s="129" t="str">
        <f t="shared" si="8"/>
        <v>D</v>
      </c>
      <c r="J124" s="79" t="s">
        <v>117</v>
      </c>
      <c r="K124" s="5">
        <f>46+15+650</f>
        <v>711</v>
      </c>
      <c r="L124" s="5">
        <f>23+8+1038</f>
        <v>1069</v>
      </c>
      <c r="M124" s="5">
        <v>1800</v>
      </c>
    </row>
    <row r="125" spans="1:13" ht="25.5">
      <c r="A125" s="2">
        <v>3130100320</v>
      </c>
      <c r="B125" s="139" t="s">
        <v>56</v>
      </c>
      <c r="C125" s="5">
        <v>-1500</v>
      </c>
      <c r="D125" s="5">
        <f>2138633-1450289</f>
        <v>688344</v>
      </c>
      <c r="E125" s="5">
        <f>2142000-2259000</f>
        <v>-117000</v>
      </c>
      <c r="F125" s="128">
        <f t="shared" si="10"/>
        <v>-115500</v>
      </c>
      <c r="G125" s="103" t="str">
        <f t="shared" si="6"/>
        <v> </v>
      </c>
      <c r="H125" s="104" t="str">
        <f t="shared" si="7"/>
        <v>D</v>
      </c>
      <c r="I125" s="129" t="str">
        <f t="shared" si="8"/>
        <v>D</v>
      </c>
      <c r="J125" s="5" t="s">
        <v>238</v>
      </c>
      <c r="K125" s="5">
        <v>150</v>
      </c>
      <c r="L125" s="5">
        <v>159</v>
      </c>
      <c r="M125" s="5">
        <v>159</v>
      </c>
    </row>
    <row r="126" spans="1:13" ht="38.25">
      <c r="A126" s="2">
        <v>3152000320</v>
      </c>
      <c r="B126" s="139" t="s">
        <v>194</v>
      </c>
      <c r="C126" s="5">
        <v>-95000</v>
      </c>
      <c r="D126" s="5">
        <f>130038-248050</f>
        <v>-118012</v>
      </c>
      <c r="E126" s="5">
        <f>330000-333000</f>
        <v>-3000</v>
      </c>
      <c r="F126" s="97">
        <f t="shared" si="10"/>
        <v>92000</v>
      </c>
      <c r="G126" s="87" t="str">
        <f t="shared" si="6"/>
        <v>J</v>
      </c>
      <c r="H126" s="88" t="str">
        <f t="shared" si="7"/>
        <v> </v>
      </c>
      <c r="I126" s="98" t="str">
        <f t="shared" si="8"/>
        <v>J</v>
      </c>
      <c r="J126" s="5" t="s">
        <v>117</v>
      </c>
      <c r="K126" s="5">
        <f>3+100</f>
        <v>103</v>
      </c>
      <c r="L126" s="5">
        <v>53</v>
      </c>
      <c r="M126" s="5">
        <v>100</v>
      </c>
    </row>
    <row r="127" spans="1:13" ht="38.25">
      <c r="A127" s="2">
        <v>3153000320</v>
      </c>
      <c r="B127" s="139" t="s">
        <v>195</v>
      </c>
      <c r="C127" s="5">
        <v>-2400</v>
      </c>
      <c r="D127" s="5">
        <f>0-2273</f>
        <v>-2273</v>
      </c>
      <c r="E127" s="5">
        <f>0-2300</f>
        <v>-2300</v>
      </c>
      <c r="F127" s="6">
        <f t="shared" si="10"/>
        <v>100</v>
      </c>
      <c r="G127" s="14" t="str">
        <f aca="true" t="shared" si="11" ref="G127:G134">IF(E127-19999.99&gt;C127,"J"," ")</f>
        <v> </v>
      </c>
      <c r="H127" s="15" t="str">
        <f aca="true" t="shared" si="12" ref="H127:H134">IF(E127&lt;(C127-19999.99),"D"," ")</f>
        <v> </v>
      </c>
      <c r="I127" s="26" t="str">
        <f aca="true" t="shared" si="13" ref="I127:I134">IF(G127="J",G127,H127)</f>
        <v> </v>
      </c>
      <c r="J127" s="5" t="s">
        <v>117</v>
      </c>
      <c r="K127" s="5">
        <v>2</v>
      </c>
      <c r="L127" s="5">
        <v>1</v>
      </c>
      <c r="M127" s="5">
        <v>2</v>
      </c>
    </row>
    <row r="128" spans="1:13" ht="25.5">
      <c r="A128" s="2">
        <v>3156000320</v>
      </c>
      <c r="B128" s="139" t="s">
        <v>196</v>
      </c>
      <c r="C128" s="5">
        <v>-147900</v>
      </c>
      <c r="D128" s="5">
        <f>192197-312265</f>
        <v>-120068</v>
      </c>
      <c r="E128" s="5">
        <f>312000-512000</f>
        <v>-200000</v>
      </c>
      <c r="F128" s="128">
        <f t="shared" si="10"/>
        <v>-52100</v>
      </c>
      <c r="G128" s="103" t="str">
        <f t="shared" si="11"/>
        <v> </v>
      </c>
      <c r="H128" s="104" t="str">
        <f t="shared" si="12"/>
        <v>D</v>
      </c>
      <c r="I128" s="129" t="str">
        <f t="shared" si="13"/>
        <v>D</v>
      </c>
      <c r="J128" s="5" t="s">
        <v>117</v>
      </c>
      <c r="K128" s="5">
        <f>1+60</f>
        <v>61</v>
      </c>
      <c r="L128" s="5">
        <f>1+30</f>
        <v>31</v>
      </c>
      <c r="M128" s="5">
        <v>60</v>
      </c>
    </row>
    <row r="129" spans="1:13" ht="25.5">
      <c r="A129" s="2">
        <v>3210100320</v>
      </c>
      <c r="B129" s="139" t="s">
        <v>197</v>
      </c>
      <c r="C129" s="5">
        <v>-178700</v>
      </c>
      <c r="D129" s="5">
        <f>801907-478005</f>
        <v>323902</v>
      </c>
      <c r="E129" s="5">
        <f>802000-844000</f>
        <v>-42000</v>
      </c>
      <c r="F129" s="97">
        <f t="shared" si="10"/>
        <v>136700</v>
      </c>
      <c r="G129" s="87" t="str">
        <f t="shared" si="11"/>
        <v>J</v>
      </c>
      <c r="H129" s="88" t="str">
        <f t="shared" si="12"/>
        <v> </v>
      </c>
      <c r="I129" s="98" t="str">
        <f t="shared" si="13"/>
        <v>J</v>
      </c>
      <c r="J129" s="5" t="s">
        <v>117</v>
      </c>
      <c r="K129" s="5">
        <f>60+4</f>
        <v>64</v>
      </c>
      <c r="L129" s="5">
        <f>46+5</f>
        <v>51</v>
      </c>
      <c r="M129" s="5">
        <v>60</v>
      </c>
    </row>
    <row r="130" spans="1:13" ht="25.5">
      <c r="A130" s="2">
        <v>3440100320</v>
      </c>
      <c r="B130" s="139" t="s">
        <v>198</v>
      </c>
      <c r="C130" s="5">
        <v>0</v>
      </c>
      <c r="D130" s="5">
        <f>69537-43537</f>
        <v>26000</v>
      </c>
      <c r="E130" s="5">
        <f>70000-68000</f>
        <v>2000</v>
      </c>
      <c r="F130" s="6">
        <f t="shared" si="10"/>
        <v>2000</v>
      </c>
      <c r="G130" s="14" t="str">
        <f t="shared" si="11"/>
        <v> </v>
      </c>
      <c r="H130" s="15" t="str">
        <f t="shared" si="12"/>
        <v> </v>
      </c>
      <c r="I130" s="26" t="str">
        <f t="shared" si="13"/>
        <v> </v>
      </c>
      <c r="J130" s="5" t="s">
        <v>117</v>
      </c>
      <c r="K130" s="5">
        <v>80</v>
      </c>
      <c r="L130" s="5">
        <v>21</v>
      </c>
      <c r="M130" s="5">
        <v>40</v>
      </c>
    </row>
    <row r="131" spans="1:13" ht="38.25">
      <c r="A131" s="2">
        <v>3510100320</v>
      </c>
      <c r="B131" s="139" t="s">
        <v>199</v>
      </c>
      <c r="C131" s="5">
        <v>-50000</v>
      </c>
      <c r="D131" s="5">
        <f>0-35100</f>
        <v>-35100</v>
      </c>
      <c r="E131" s="5">
        <f>0-35100</f>
        <v>-35100</v>
      </c>
      <c r="F131" s="6">
        <f t="shared" si="10"/>
        <v>14900</v>
      </c>
      <c r="G131" s="14" t="str">
        <f t="shared" si="11"/>
        <v> </v>
      </c>
      <c r="H131" s="15" t="str">
        <f t="shared" si="12"/>
        <v> </v>
      </c>
      <c r="I131" s="26" t="str">
        <f t="shared" si="13"/>
        <v> </v>
      </c>
      <c r="J131" s="5" t="s">
        <v>117</v>
      </c>
      <c r="K131" s="5">
        <v>12</v>
      </c>
      <c r="L131" s="5">
        <v>12</v>
      </c>
      <c r="M131" s="5">
        <v>12</v>
      </c>
    </row>
    <row r="132" spans="1:13" ht="25.5">
      <c r="A132" s="2">
        <v>3510800320</v>
      </c>
      <c r="B132" s="142" t="s">
        <v>200</v>
      </c>
      <c r="C132" s="5">
        <v>-7400</v>
      </c>
      <c r="D132" s="5">
        <f>0-1509</f>
        <v>-1509</v>
      </c>
      <c r="E132" s="5">
        <f>0-2400</f>
        <v>-2400</v>
      </c>
      <c r="F132" s="6">
        <f t="shared" si="10"/>
        <v>5000</v>
      </c>
      <c r="G132" s="14" t="str">
        <f t="shared" si="11"/>
        <v> </v>
      </c>
      <c r="H132" s="15" t="str">
        <f t="shared" si="12"/>
        <v> </v>
      </c>
      <c r="I132" s="26" t="str">
        <f t="shared" si="13"/>
        <v> </v>
      </c>
      <c r="J132" s="5" t="s">
        <v>117</v>
      </c>
      <c r="K132" s="5">
        <v>100</v>
      </c>
      <c r="L132" s="5">
        <v>48</v>
      </c>
      <c r="M132" s="5">
        <v>100</v>
      </c>
    </row>
    <row r="133" spans="1:13" ht="25.5">
      <c r="A133" s="2"/>
      <c r="B133" s="139" t="s">
        <v>150</v>
      </c>
      <c r="C133" s="5">
        <v>0</v>
      </c>
      <c r="D133" s="5">
        <f>0-328</f>
        <v>-328</v>
      </c>
      <c r="E133" s="5"/>
      <c r="F133" s="5">
        <f t="shared" si="10"/>
        <v>0</v>
      </c>
      <c r="G133" s="14" t="str">
        <f t="shared" si="11"/>
        <v> </v>
      </c>
      <c r="H133" s="15" t="str">
        <f t="shared" si="12"/>
        <v> </v>
      </c>
      <c r="I133" s="24" t="str">
        <f t="shared" si="13"/>
        <v> </v>
      </c>
      <c r="J133" s="5"/>
      <c r="K133" s="5"/>
      <c r="L133" s="5"/>
      <c r="M133" s="5"/>
    </row>
    <row r="134" spans="1:13" ht="25.5">
      <c r="A134" s="2"/>
      <c r="B134" s="139" t="s">
        <v>151</v>
      </c>
      <c r="C134" s="5">
        <v>0</v>
      </c>
      <c r="D134" s="5">
        <f>0-0</f>
        <v>0</v>
      </c>
      <c r="E134" s="5"/>
      <c r="F134" s="5">
        <f t="shared" si="10"/>
        <v>0</v>
      </c>
      <c r="G134" s="14" t="str">
        <f t="shared" si="11"/>
        <v> </v>
      </c>
      <c r="H134" s="15" t="str">
        <f t="shared" si="12"/>
        <v> </v>
      </c>
      <c r="I134" s="24" t="str">
        <f t="shared" si="13"/>
        <v> </v>
      </c>
      <c r="J134" s="5"/>
      <c r="K134" s="5"/>
      <c r="L134" s="5"/>
      <c r="M134" s="5"/>
    </row>
    <row r="135" spans="1:13" ht="18">
      <c r="A135" s="2">
        <v>3450100325</v>
      </c>
      <c r="B135" s="143" t="s">
        <v>202</v>
      </c>
      <c r="C135" s="5">
        <v>-10700</v>
      </c>
      <c r="D135" s="5">
        <f>201573-104829</f>
        <v>96744</v>
      </c>
      <c r="E135" s="5">
        <f>202000-185000</f>
        <v>17000</v>
      </c>
      <c r="F135" s="97">
        <f t="shared" si="10"/>
        <v>27700</v>
      </c>
      <c r="G135" s="87" t="str">
        <f t="shared" si="6"/>
        <v>J</v>
      </c>
      <c r="H135" s="88" t="str">
        <f t="shared" si="7"/>
        <v> </v>
      </c>
      <c r="I135" s="98" t="str">
        <f t="shared" si="8"/>
        <v>J</v>
      </c>
      <c r="J135" s="5" t="s">
        <v>117</v>
      </c>
      <c r="K135" s="5">
        <f>130</f>
        <v>130</v>
      </c>
      <c r="L135" s="5">
        <v>120</v>
      </c>
      <c r="M135" s="5">
        <v>120</v>
      </c>
    </row>
    <row r="136" spans="1:13" ht="25.5">
      <c r="A136" s="2"/>
      <c r="B136" s="143" t="s">
        <v>152</v>
      </c>
      <c r="C136" s="5">
        <v>0</v>
      </c>
      <c r="D136" s="5">
        <f>0-0</f>
        <v>0</v>
      </c>
      <c r="E136" s="5"/>
      <c r="F136" s="5">
        <f t="shared" si="10"/>
        <v>0</v>
      </c>
      <c r="G136" s="14" t="str">
        <f>IF(E136-19999.99&gt;C136,"J"," ")</f>
        <v> </v>
      </c>
      <c r="H136" s="15" t="str">
        <f>IF(E136&lt;(C136-19999.99),"D"," ")</f>
        <v> </v>
      </c>
      <c r="I136" s="24" t="str">
        <f>IF(G136="J",G136,H136)</f>
        <v> </v>
      </c>
      <c r="J136" s="5"/>
      <c r="K136" s="5"/>
      <c r="L136" s="5"/>
      <c r="M136" s="5"/>
    </row>
    <row r="137" spans="1:13" ht="18.75" thickBot="1">
      <c r="A137" s="2">
        <v>3460100327</v>
      </c>
      <c r="B137" s="144" t="s">
        <v>57</v>
      </c>
      <c r="C137" s="5">
        <v>-186100</v>
      </c>
      <c r="D137" s="5">
        <f>276500-314559</f>
        <v>-38059</v>
      </c>
      <c r="E137" s="5">
        <f>404000-567000</f>
        <v>-163000</v>
      </c>
      <c r="F137" s="97">
        <f t="shared" si="10"/>
        <v>23100</v>
      </c>
      <c r="G137" s="87" t="str">
        <f t="shared" si="6"/>
        <v>J</v>
      </c>
      <c r="H137" s="88" t="str">
        <f t="shared" si="7"/>
        <v> </v>
      </c>
      <c r="I137" s="98" t="str">
        <f t="shared" si="8"/>
        <v>J</v>
      </c>
      <c r="J137" s="5" t="s">
        <v>117</v>
      </c>
      <c r="K137" s="5">
        <f>700+210</f>
        <v>910</v>
      </c>
      <c r="L137" s="5">
        <v>300</v>
      </c>
      <c r="M137" s="5">
        <v>500</v>
      </c>
    </row>
    <row r="138" spans="1:13" ht="18.75" thickBot="1">
      <c r="A138" s="210" t="s">
        <v>140</v>
      </c>
      <c r="B138" s="211"/>
      <c r="C138" s="66">
        <f>SUM(C117:C137)</f>
        <v>-12200400</v>
      </c>
      <c r="D138" s="67">
        <f>SUM(D117:D137)</f>
        <v>3199168</v>
      </c>
      <c r="E138" s="67">
        <f>SUM(E117:E137)</f>
        <v>-11626800</v>
      </c>
      <c r="F138" s="82">
        <f>SUM(F117:F137)</f>
        <v>573600</v>
      </c>
      <c r="G138" s="83" t="str">
        <f t="shared" si="6"/>
        <v>J</v>
      </c>
      <c r="H138" s="84" t="str">
        <f t="shared" si="7"/>
        <v> </v>
      </c>
      <c r="I138" s="85" t="str">
        <f t="shared" si="8"/>
        <v>J</v>
      </c>
      <c r="J138" s="66"/>
      <c r="K138" s="67"/>
      <c r="L138" s="67"/>
      <c r="M138" s="72"/>
    </row>
    <row r="139" spans="1:13" ht="18">
      <c r="A139" s="29"/>
      <c r="B139" s="162"/>
      <c r="C139" s="30"/>
      <c r="D139" s="30"/>
      <c r="E139" s="30"/>
      <c r="F139" s="30"/>
      <c r="G139" s="31" t="str">
        <f t="shared" si="6"/>
        <v> </v>
      </c>
      <c r="H139" s="32" t="str">
        <f t="shared" si="7"/>
        <v> </v>
      </c>
      <c r="I139" s="33" t="str">
        <f t="shared" si="8"/>
        <v> </v>
      </c>
      <c r="J139" s="30"/>
      <c r="K139" s="30"/>
      <c r="L139" s="30"/>
      <c r="M139" s="30"/>
    </row>
    <row r="140" spans="1:13" ht="38.25">
      <c r="A140" s="2">
        <v>3121000033</v>
      </c>
      <c r="B140" s="139" t="s">
        <v>203</v>
      </c>
      <c r="C140" s="5">
        <v>-13313000</v>
      </c>
      <c r="D140" s="5">
        <f>6681458-13575602</f>
        <v>-6894144</v>
      </c>
      <c r="E140" s="5">
        <f>9800000-23985000</f>
        <v>-14185000</v>
      </c>
      <c r="F140" s="102">
        <f aca="true" t="shared" si="14" ref="F140:F145">E140-C140</f>
        <v>-872000</v>
      </c>
      <c r="G140" s="103" t="str">
        <f t="shared" si="6"/>
        <v> </v>
      </c>
      <c r="H140" s="104" t="str">
        <f t="shared" si="7"/>
        <v>D</v>
      </c>
      <c r="I140" s="105" t="str">
        <f t="shared" si="8"/>
        <v>D</v>
      </c>
      <c r="J140" s="5" t="s">
        <v>153</v>
      </c>
      <c r="K140" s="5">
        <v>4700</v>
      </c>
      <c r="L140" s="5">
        <v>4726</v>
      </c>
      <c r="M140" s="5">
        <v>4750</v>
      </c>
    </row>
    <row r="141" spans="1:13" ht="25.5">
      <c r="A141" s="2">
        <v>3122000033</v>
      </c>
      <c r="B141" s="139" t="s">
        <v>204</v>
      </c>
      <c r="C141" s="5">
        <v>-172300</v>
      </c>
      <c r="D141" s="5">
        <f>0-232350</f>
        <v>-232350</v>
      </c>
      <c r="E141" s="5">
        <f>0-317000</f>
        <v>-317000</v>
      </c>
      <c r="F141" s="102">
        <f t="shared" si="14"/>
        <v>-144700</v>
      </c>
      <c r="G141" s="103" t="str">
        <f>IF(E141-19999.99&gt;C141,"J"," ")</f>
        <v> </v>
      </c>
      <c r="H141" s="104" t="str">
        <f>IF(E141&lt;(C141-19999.99),"D"," ")</f>
        <v>D</v>
      </c>
      <c r="I141" s="105" t="str">
        <f>IF(G141="J",G141,H141)</f>
        <v>D</v>
      </c>
      <c r="J141" s="5" t="s">
        <v>117</v>
      </c>
      <c r="K141" s="5">
        <f>40+240+50+50</f>
        <v>380</v>
      </c>
      <c r="L141" s="5">
        <f>0+357+33+34</f>
        <v>424</v>
      </c>
      <c r="M141" s="5">
        <v>600</v>
      </c>
    </row>
    <row r="142" spans="1:13" ht="18">
      <c r="A142" s="2">
        <v>3123000033</v>
      </c>
      <c r="B142" s="139" t="s">
        <v>205</v>
      </c>
      <c r="C142" s="5">
        <v>-515000</v>
      </c>
      <c r="D142" s="5">
        <f>0-418400</f>
        <v>-418400</v>
      </c>
      <c r="E142" s="5">
        <f>0-725000</f>
        <v>-725000</v>
      </c>
      <c r="F142" s="102">
        <f t="shared" si="14"/>
        <v>-210000</v>
      </c>
      <c r="G142" s="103" t="str">
        <f>IF(E142-19999.99&gt;C142,"J"," ")</f>
        <v> </v>
      </c>
      <c r="H142" s="104" t="str">
        <f>IF(E142&lt;(C142-19999.99),"D"," ")</f>
        <v>D</v>
      </c>
      <c r="I142" s="105" t="str">
        <f>IF(G142="J",G142,H142)</f>
        <v>D</v>
      </c>
      <c r="J142" s="5" t="s">
        <v>117</v>
      </c>
      <c r="K142" s="5">
        <f>700+250+700</f>
        <v>1650</v>
      </c>
      <c r="L142" s="5">
        <f>462+222+465</f>
        <v>1149</v>
      </c>
      <c r="M142" s="5">
        <v>2300</v>
      </c>
    </row>
    <row r="143" spans="1:13" ht="18">
      <c r="A143" s="2">
        <v>3124000033</v>
      </c>
      <c r="B143" s="139" t="s">
        <v>239</v>
      </c>
      <c r="C143" s="5">
        <v>0</v>
      </c>
      <c r="D143" s="5">
        <f>20988716-18880919</f>
        <v>2107797</v>
      </c>
      <c r="E143" s="5">
        <f>33407000-33407000</f>
        <v>0</v>
      </c>
      <c r="F143" s="70">
        <f t="shared" si="14"/>
        <v>0</v>
      </c>
      <c r="G143" s="14" t="str">
        <f>IF(E143-19999.99&gt;C143,"J"," ")</f>
        <v> </v>
      </c>
      <c r="H143" s="15" t="str">
        <f>IF(E143&lt;(C143-19999.99),"D"," ")</f>
        <v> </v>
      </c>
      <c r="I143" s="22" t="str">
        <f>IF(G143="J",G143,H143)</f>
        <v> </v>
      </c>
      <c r="J143" s="5" t="s">
        <v>208</v>
      </c>
      <c r="K143" s="5">
        <f>8000</f>
        <v>8000</v>
      </c>
      <c r="L143" s="5">
        <v>8221</v>
      </c>
      <c r="M143" s="5">
        <v>8300</v>
      </c>
    </row>
    <row r="144" spans="1:13" ht="38.25">
      <c r="A144" s="2">
        <v>3125000033</v>
      </c>
      <c r="B144" s="139" t="s">
        <v>206</v>
      </c>
      <c r="C144" s="5">
        <v>0</v>
      </c>
      <c r="D144" s="5">
        <f>3692959-3781808</f>
        <v>-88849</v>
      </c>
      <c r="E144" s="5">
        <f>8600000-8600000</f>
        <v>0</v>
      </c>
      <c r="F144" s="70">
        <f t="shared" si="14"/>
        <v>0</v>
      </c>
      <c r="G144" s="14" t="str">
        <f>IF(E144-19999.99&gt;C144,"J"," ")</f>
        <v> </v>
      </c>
      <c r="H144" s="15" t="str">
        <f>IF(E144&lt;(C144-19999.99),"D"," ")</f>
        <v> </v>
      </c>
      <c r="I144" s="22" t="str">
        <f>IF(G144="J",G144,H144)</f>
        <v> </v>
      </c>
      <c r="J144" s="77" t="s">
        <v>209</v>
      </c>
      <c r="K144" s="5">
        <v>8000</v>
      </c>
      <c r="L144" s="5">
        <v>2463</v>
      </c>
      <c r="M144" s="5">
        <v>5000</v>
      </c>
    </row>
    <row r="145" spans="1:13" ht="26.25" thickBot="1">
      <c r="A145" s="2">
        <v>3129000033</v>
      </c>
      <c r="B145" s="139" t="s">
        <v>207</v>
      </c>
      <c r="C145" s="5">
        <v>-782600</v>
      </c>
      <c r="D145" s="5">
        <f>3017716-3940617</f>
        <v>-922901</v>
      </c>
      <c r="E145" s="5">
        <f>5500000-6360000</f>
        <v>-860000</v>
      </c>
      <c r="F145" s="102">
        <f t="shared" si="14"/>
        <v>-77400</v>
      </c>
      <c r="G145" s="103" t="str">
        <f>IF(E145-19999.99&gt;C145,"J"," ")</f>
        <v> </v>
      </c>
      <c r="H145" s="104" t="str">
        <f>IF(E145&lt;(C145-19999.99),"D"," ")</f>
        <v>D</v>
      </c>
      <c r="I145" s="105" t="str">
        <f>IF(G145="J",G145,H145)</f>
        <v>D</v>
      </c>
      <c r="J145" s="5" t="s">
        <v>93</v>
      </c>
      <c r="K145" s="5">
        <f>20000+7000+3000+4000+44000+12000+12000+6000+1000</f>
        <v>109000</v>
      </c>
      <c r="L145" s="5">
        <f>13513.98+1209.06+1909.63+1241.05+21200.82+4142.49+2213.94+6875.5+343.48</f>
        <v>52649.95</v>
      </c>
      <c r="M145" s="5">
        <v>105000</v>
      </c>
    </row>
    <row r="146" spans="1:13" ht="18.75" thickBot="1">
      <c r="A146" s="210" t="s">
        <v>141</v>
      </c>
      <c r="B146" s="211"/>
      <c r="C146" s="66">
        <f>SUM(C140:C145)</f>
        <v>-14782900</v>
      </c>
      <c r="D146" s="67">
        <f>SUM(D140:D145)</f>
        <v>-6448847</v>
      </c>
      <c r="E146" s="67">
        <f>SUM(E140:E145)</f>
        <v>-16087000</v>
      </c>
      <c r="F146" s="193">
        <f>SUM(F140:F145)</f>
        <v>-1304100</v>
      </c>
      <c r="G146" s="194" t="str">
        <f t="shared" si="6"/>
        <v> </v>
      </c>
      <c r="H146" s="195" t="str">
        <f t="shared" si="7"/>
        <v>D</v>
      </c>
      <c r="I146" s="196" t="str">
        <f t="shared" si="8"/>
        <v>D</v>
      </c>
      <c r="J146" s="66"/>
      <c r="K146" s="67"/>
      <c r="L146" s="67"/>
      <c r="M146" s="72"/>
    </row>
    <row r="147" spans="1:13" ht="18">
      <c r="A147" s="29"/>
      <c r="B147" s="162"/>
      <c r="C147" s="30"/>
      <c r="D147" s="30"/>
      <c r="E147" s="30"/>
      <c r="F147" s="30"/>
      <c r="G147" s="31" t="str">
        <f t="shared" si="6"/>
        <v> </v>
      </c>
      <c r="H147" s="32" t="str">
        <f t="shared" si="7"/>
        <v> </v>
      </c>
      <c r="I147" s="33" t="str">
        <f t="shared" si="8"/>
        <v> </v>
      </c>
      <c r="J147" s="30"/>
      <c r="K147" s="30"/>
      <c r="L147" s="30"/>
      <c r="M147" s="30"/>
    </row>
    <row r="148" spans="1:13" ht="25.5">
      <c r="A148" s="2">
        <v>2420300034</v>
      </c>
      <c r="B148" s="139" t="s">
        <v>210</v>
      </c>
      <c r="C148" s="5">
        <v>-58400</v>
      </c>
      <c r="D148" s="5">
        <f>0-30823</f>
        <v>-30823</v>
      </c>
      <c r="E148" s="5">
        <f>0-57000</f>
        <v>-57000</v>
      </c>
      <c r="F148" s="6">
        <f aca="true" t="shared" si="15" ref="F148:F164">E148-C148</f>
        <v>1400</v>
      </c>
      <c r="G148" s="14" t="str">
        <f t="shared" si="6"/>
        <v> </v>
      </c>
      <c r="H148" s="15" t="str">
        <f t="shared" si="7"/>
        <v> </v>
      </c>
      <c r="I148" s="26" t="str">
        <f t="shared" si="8"/>
        <v> </v>
      </c>
      <c r="J148" s="5" t="s">
        <v>155</v>
      </c>
      <c r="K148" s="5">
        <v>400</v>
      </c>
      <c r="L148" s="5">
        <v>252</v>
      </c>
      <c r="M148" s="5">
        <v>400</v>
      </c>
    </row>
    <row r="149" spans="1:13" ht="28.5" customHeight="1">
      <c r="A149" s="2">
        <v>3119000034</v>
      </c>
      <c r="B149" s="139" t="s">
        <v>193</v>
      </c>
      <c r="C149" s="5">
        <v>-12700</v>
      </c>
      <c r="D149" s="5">
        <f>0-6336</f>
        <v>-6336</v>
      </c>
      <c r="E149" s="5">
        <f>0-12000</f>
        <v>-12000</v>
      </c>
      <c r="F149" s="6">
        <f aca="true" t="shared" si="16" ref="F149:F155">E149-C149</f>
        <v>700</v>
      </c>
      <c r="G149" s="14" t="str">
        <f aca="true" t="shared" si="17" ref="G149:G155">IF(E149-19999.99&gt;C149,"J"," ")</f>
        <v> </v>
      </c>
      <c r="H149" s="15" t="str">
        <f aca="true" t="shared" si="18" ref="H149:H155">IF(E149&lt;(C149-19999.99),"D"," ")</f>
        <v> </v>
      </c>
      <c r="I149" s="26" t="str">
        <f aca="true" t="shared" si="19" ref="I149:I155">IF(G149="J",G149,H149)</f>
        <v> </v>
      </c>
      <c r="J149" s="5" t="s">
        <v>223</v>
      </c>
      <c r="K149" s="5">
        <v>130</v>
      </c>
      <c r="L149" s="5">
        <v>55</v>
      </c>
      <c r="M149" s="5">
        <v>100</v>
      </c>
    </row>
    <row r="150" spans="1:13" ht="18">
      <c r="A150" s="2">
        <v>3410100034</v>
      </c>
      <c r="B150" s="139" t="s">
        <v>211</v>
      </c>
      <c r="C150" s="5">
        <v>350000</v>
      </c>
      <c r="D150" s="5">
        <f>945095-894028</f>
        <v>51067</v>
      </c>
      <c r="E150" s="5">
        <f>1370000-1372000</f>
        <v>-2000</v>
      </c>
      <c r="F150" s="128">
        <f t="shared" si="16"/>
        <v>-352000</v>
      </c>
      <c r="G150" s="103" t="str">
        <f t="shared" si="17"/>
        <v> </v>
      </c>
      <c r="H150" s="104" t="str">
        <f t="shared" si="18"/>
        <v>D</v>
      </c>
      <c r="I150" s="129" t="str">
        <f t="shared" si="19"/>
        <v>D</v>
      </c>
      <c r="J150" s="5" t="s">
        <v>155</v>
      </c>
      <c r="K150" s="5">
        <v>350</v>
      </c>
      <c r="L150" s="5">
        <v>204</v>
      </c>
      <c r="M150" s="5">
        <v>350</v>
      </c>
    </row>
    <row r="151" spans="1:13" ht="18">
      <c r="A151" s="2">
        <v>3430100034</v>
      </c>
      <c r="B151" s="139" t="s">
        <v>58</v>
      </c>
      <c r="C151" s="5">
        <v>-149400</v>
      </c>
      <c r="D151" s="5">
        <f>950-55496</f>
        <v>-54546</v>
      </c>
      <c r="E151" s="5">
        <f>0-125000</f>
        <v>-125000</v>
      </c>
      <c r="F151" s="97">
        <f t="shared" si="16"/>
        <v>24400</v>
      </c>
      <c r="G151" s="87" t="str">
        <f t="shared" si="17"/>
        <v>J</v>
      </c>
      <c r="H151" s="88" t="str">
        <f t="shared" si="18"/>
        <v> </v>
      </c>
      <c r="I151" s="98" t="str">
        <f t="shared" si="19"/>
        <v>J</v>
      </c>
      <c r="J151" s="5" t="s">
        <v>117</v>
      </c>
      <c r="K151" s="5">
        <f>325+25+400+125</f>
        <v>875</v>
      </c>
      <c r="L151" s="5">
        <f>287+14+321+121</f>
        <v>743</v>
      </c>
      <c r="M151" s="5">
        <v>1100</v>
      </c>
    </row>
    <row r="152" spans="1:13" ht="38.25">
      <c r="A152" s="2">
        <v>3610100034</v>
      </c>
      <c r="B152" s="139" t="s">
        <v>212</v>
      </c>
      <c r="C152" s="5">
        <v>-1288000</v>
      </c>
      <c r="D152" s="5">
        <f>18791-651714</f>
        <v>-632923</v>
      </c>
      <c r="E152" s="5">
        <f>22000-1029000</f>
        <v>-1007000</v>
      </c>
      <c r="F152" s="97">
        <f t="shared" si="16"/>
        <v>281000</v>
      </c>
      <c r="G152" s="87" t="str">
        <f t="shared" si="17"/>
        <v>J</v>
      </c>
      <c r="H152" s="88" t="str">
        <f t="shared" si="18"/>
        <v> </v>
      </c>
      <c r="I152" s="98" t="str">
        <f t="shared" si="19"/>
        <v>J</v>
      </c>
      <c r="J152" s="5" t="s">
        <v>155</v>
      </c>
      <c r="K152" s="5">
        <v>800</v>
      </c>
      <c r="L152" s="5">
        <v>414</v>
      </c>
      <c r="M152" s="5">
        <v>700</v>
      </c>
    </row>
    <row r="153" spans="1:13" ht="18">
      <c r="A153" s="2">
        <v>3620100034</v>
      </c>
      <c r="B153" s="139" t="s">
        <v>213</v>
      </c>
      <c r="C153" s="5">
        <v>-150300</v>
      </c>
      <c r="D153" s="5">
        <f>1820-66963</f>
        <v>-65143</v>
      </c>
      <c r="E153" s="5">
        <f>2000-127000</f>
        <v>-125000</v>
      </c>
      <c r="F153" s="97">
        <f t="shared" si="16"/>
        <v>25300</v>
      </c>
      <c r="G153" s="87" t="str">
        <f t="shared" si="17"/>
        <v>J</v>
      </c>
      <c r="H153" s="88" t="str">
        <f t="shared" si="18"/>
        <v> </v>
      </c>
      <c r="I153" s="98" t="str">
        <f t="shared" si="19"/>
        <v>J</v>
      </c>
      <c r="J153" s="5" t="s">
        <v>154</v>
      </c>
      <c r="K153" s="5">
        <f>200+3100+250</f>
        <v>3550</v>
      </c>
      <c r="L153" s="5">
        <f>154+1994+157</f>
        <v>2305</v>
      </c>
      <c r="M153" s="5">
        <v>3800</v>
      </c>
    </row>
    <row r="154" spans="1:13" ht="38.25">
      <c r="A154" s="2">
        <v>3631000034</v>
      </c>
      <c r="B154" s="139" t="s">
        <v>214</v>
      </c>
      <c r="C154" s="5">
        <v>-239200</v>
      </c>
      <c r="D154" s="5">
        <f>360000-427768</f>
        <v>-67768</v>
      </c>
      <c r="E154" s="5">
        <f>439000-537000</f>
        <v>-98000</v>
      </c>
      <c r="F154" s="97">
        <f t="shared" si="16"/>
        <v>141200</v>
      </c>
      <c r="G154" s="87" t="str">
        <f t="shared" si="17"/>
        <v>J</v>
      </c>
      <c r="H154" s="88" t="str">
        <f t="shared" si="18"/>
        <v> </v>
      </c>
      <c r="I154" s="98" t="str">
        <f t="shared" si="19"/>
        <v>J</v>
      </c>
      <c r="J154" s="5" t="s">
        <v>224</v>
      </c>
      <c r="K154" s="5">
        <v>54</v>
      </c>
      <c r="L154" s="5">
        <v>187</v>
      </c>
      <c r="M154" s="5">
        <v>160</v>
      </c>
    </row>
    <row r="155" spans="1:13" ht="38.25">
      <c r="A155" s="2">
        <v>3632000034</v>
      </c>
      <c r="B155" s="139" t="s">
        <v>215</v>
      </c>
      <c r="C155" s="5">
        <v>-114200</v>
      </c>
      <c r="D155" s="5">
        <f>0-72052</f>
        <v>-72052</v>
      </c>
      <c r="E155" s="5">
        <f>0-121000</f>
        <v>-121000</v>
      </c>
      <c r="F155" s="6">
        <f t="shared" si="16"/>
        <v>-6800</v>
      </c>
      <c r="G155" s="14" t="str">
        <f t="shared" si="17"/>
        <v> </v>
      </c>
      <c r="H155" s="15" t="str">
        <f t="shared" si="18"/>
        <v> </v>
      </c>
      <c r="I155" s="26" t="str">
        <f t="shared" si="19"/>
        <v> </v>
      </c>
      <c r="J155" s="5" t="s">
        <v>129</v>
      </c>
      <c r="K155" s="5">
        <f>2000+500</f>
        <v>2500</v>
      </c>
      <c r="L155" s="5">
        <f>1653+375</f>
        <v>2028</v>
      </c>
      <c r="M155" s="5">
        <v>3300</v>
      </c>
    </row>
    <row r="156" spans="1:13" ht="18">
      <c r="A156" s="2">
        <v>3633000034</v>
      </c>
      <c r="B156" s="139" t="s">
        <v>216</v>
      </c>
      <c r="C156" s="5">
        <v>-4338000</v>
      </c>
      <c r="D156" s="5">
        <f>405830-3115140</f>
        <v>-2709310</v>
      </c>
      <c r="E156" s="5">
        <f>612000-5604000</f>
        <v>-4992000</v>
      </c>
      <c r="F156" s="102">
        <f t="shared" si="15"/>
        <v>-654000</v>
      </c>
      <c r="G156" s="103" t="str">
        <f t="shared" si="6"/>
        <v> </v>
      </c>
      <c r="H156" s="104" t="str">
        <f t="shared" si="7"/>
        <v>D</v>
      </c>
      <c r="I156" s="105" t="str">
        <f t="shared" si="8"/>
        <v>D</v>
      </c>
      <c r="J156" s="5" t="s">
        <v>225</v>
      </c>
      <c r="K156" s="5">
        <f>12+100+75+100+180+54</f>
        <v>521</v>
      </c>
      <c r="L156" s="5">
        <f>45+176+120+73+295+63</f>
        <v>772</v>
      </c>
      <c r="M156" s="5">
        <v>1400</v>
      </c>
    </row>
    <row r="157" spans="1:13" ht="51">
      <c r="A157" s="2">
        <v>3634000034</v>
      </c>
      <c r="B157" s="139" t="s">
        <v>217</v>
      </c>
      <c r="C157" s="5">
        <v>-2191500</v>
      </c>
      <c r="D157" s="5">
        <f>66661-1330131</f>
        <v>-1263470</v>
      </c>
      <c r="E157" s="5">
        <f>99000-2453000</f>
        <v>-2354000</v>
      </c>
      <c r="F157" s="128">
        <f t="shared" si="15"/>
        <v>-162500</v>
      </c>
      <c r="G157" s="103" t="str">
        <f t="shared" si="6"/>
        <v> </v>
      </c>
      <c r="H157" s="104" t="str">
        <f t="shared" si="7"/>
        <v>D</v>
      </c>
      <c r="I157" s="129" t="str">
        <f t="shared" si="8"/>
        <v>D</v>
      </c>
      <c r="J157" s="5" t="s">
        <v>132</v>
      </c>
      <c r="K157" s="5">
        <v>200</v>
      </c>
      <c r="L157" s="5">
        <v>141</v>
      </c>
      <c r="M157" s="5">
        <v>260</v>
      </c>
    </row>
    <row r="158" spans="1:13" ht="63.75">
      <c r="A158" s="2">
        <v>3635000034</v>
      </c>
      <c r="B158" s="139" t="s">
        <v>218</v>
      </c>
      <c r="C158" s="5">
        <v>-67900</v>
      </c>
      <c r="D158" s="5">
        <f>0-0</f>
        <v>0</v>
      </c>
      <c r="E158" s="5">
        <f>0-67000</f>
        <v>-67000</v>
      </c>
      <c r="F158" s="70">
        <f t="shared" si="15"/>
        <v>900</v>
      </c>
      <c r="G158" s="14" t="str">
        <f t="shared" si="6"/>
        <v> </v>
      </c>
      <c r="H158" s="15" t="str">
        <f t="shared" si="7"/>
        <v> </v>
      </c>
      <c r="I158" s="22" t="str">
        <f t="shared" si="8"/>
        <v> </v>
      </c>
      <c r="J158" s="5" t="s">
        <v>117</v>
      </c>
      <c r="K158" s="5">
        <f>450+20+24+450+2250</f>
        <v>3194</v>
      </c>
      <c r="L158" s="5">
        <f>0+163+25+303+1450</f>
        <v>1941</v>
      </c>
      <c r="M158" s="5">
        <v>3200</v>
      </c>
    </row>
    <row r="159" spans="1:13" ht="18">
      <c r="A159" s="2">
        <v>3636000034</v>
      </c>
      <c r="B159" s="139" t="s">
        <v>219</v>
      </c>
      <c r="C159" s="5">
        <v>-44500</v>
      </c>
      <c r="D159" s="5">
        <f>0-0</f>
        <v>0</v>
      </c>
      <c r="E159" s="5">
        <f>0-45000</f>
        <v>-45000</v>
      </c>
      <c r="F159" s="6">
        <f t="shared" si="15"/>
        <v>-500</v>
      </c>
      <c r="G159" s="14" t="str">
        <f t="shared" si="6"/>
        <v> </v>
      </c>
      <c r="H159" s="15" t="str">
        <f t="shared" si="7"/>
        <v> </v>
      </c>
      <c r="I159" s="26" t="str">
        <f t="shared" si="8"/>
        <v> </v>
      </c>
      <c r="J159" s="5" t="s">
        <v>226</v>
      </c>
      <c r="K159" s="5">
        <v>1600</v>
      </c>
      <c r="L159" s="5">
        <v>0</v>
      </c>
      <c r="M159" s="5">
        <v>1600</v>
      </c>
    </row>
    <row r="160" spans="1:13" ht="14.25">
      <c r="A160" s="212">
        <v>3639000034</v>
      </c>
      <c r="B160" s="236" t="s">
        <v>220</v>
      </c>
      <c r="C160" s="208">
        <v>-2666400</v>
      </c>
      <c r="D160" s="208">
        <f>154299-1532914</f>
        <v>-1378615</v>
      </c>
      <c r="E160" s="208">
        <f>230000-2774000</f>
        <v>-2544000</v>
      </c>
      <c r="F160" s="240">
        <f t="shared" si="15"/>
        <v>122400</v>
      </c>
      <c r="G160" s="87" t="str">
        <f t="shared" si="6"/>
        <v>J</v>
      </c>
      <c r="H160" s="88" t="str">
        <f t="shared" si="7"/>
        <v> </v>
      </c>
      <c r="I160" s="225" t="str">
        <f t="shared" si="8"/>
        <v>J</v>
      </c>
      <c r="J160" s="5" t="s">
        <v>227</v>
      </c>
      <c r="K160" s="5">
        <v>366</v>
      </c>
      <c r="L160" s="5">
        <v>181</v>
      </c>
      <c r="M160" s="5">
        <v>300</v>
      </c>
    </row>
    <row r="161" spans="1:13" ht="14.25">
      <c r="A161" s="235"/>
      <c r="B161" s="237"/>
      <c r="C161" s="239"/>
      <c r="D161" s="239"/>
      <c r="E161" s="239"/>
      <c r="F161" s="241"/>
      <c r="G161" s="87"/>
      <c r="H161" s="88"/>
      <c r="I161" s="226"/>
      <c r="J161" s="5" t="s">
        <v>228</v>
      </c>
      <c r="K161" s="5">
        <v>350</v>
      </c>
      <c r="L161" s="5">
        <v>204</v>
      </c>
      <c r="M161" s="5">
        <v>360</v>
      </c>
    </row>
    <row r="162" spans="1:13" ht="14.25">
      <c r="A162" s="213"/>
      <c r="B162" s="238"/>
      <c r="C162" s="209"/>
      <c r="D162" s="209"/>
      <c r="E162" s="209"/>
      <c r="F162" s="242"/>
      <c r="G162" s="87"/>
      <c r="H162" s="88"/>
      <c r="I162" s="227"/>
      <c r="J162" s="5" t="s">
        <v>229</v>
      </c>
      <c r="K162" s="5">
        <v>850</v>
      </c>
      <c r="L162" s="5">
        <v>741</v>
      </c>
      <c r="M162" s="5">
        <v>1000</v>
      </c>
    </row>
    <row r="163" spans="1:13" ht="18">
      <c r="A163" s="2">
        <v>3660100034</v>
      </c>
      <c r="B163" s="139" t="s">
        <v>221</v>
      </c>
      <c r="C163" s="5">
        <v>-37100</v>
      </c>
      <c r="D163" s="5">
        <f>4330-12284</f>
        <v>-7954</v>
      </c>
      <c r="E163" s="5">
        <f>8400-37000</f>
        <v>-28600</v>
      </c>
      <c r="F163" s="6">
        <f t="shared" si="15"/>
        <v>8500</v>
      </c>
      <c r="G163" s="14" t="str">
        <f t="shared" si="6"/>
        <v> </v>
      </c>
      <c r="H163" s="15" t="str">
        <f t="shared" si="7"/>
        <v> </v>
      </c>
      <c r="I163" s="26" t="str">
        <f t="shared" si="8"/>
        <v> </v>
      </c>
      <c r="J163" s="5" t="s">
        <v>154</v>
      </c>
      <c r="K163" s="5">
        <v>1100</v>
      </c>
      <c r="L163" s="5">
        <v>676</v>
      </c>
      <c r="M163" s="5">
        <v>1100</v>
      </c>
    </row>
    <row r="164" spans="1:13" ht="43.5" customHeight="1" thickBot="1">
      <c r="A164" s="2">
        <v>3675000034</v>
      </c>
      <c r="B164" s="145" t="s">
        <v>222</v>
      </c>
      <c r="C164" s="5">
        <v>-403800</v>
      </c>
      <c r="D164" s="5">
        <f>53763-264146</f>
        <v>-210383</v>
      </c>
      <c r="E164" s="5">
        <f>88000-562000</f>
        <v>-474000</v>
      </c>
      <c r="F164" s="128">
        <f t="shared" si="15"/>
        <v>-70200</v>
      </c>
      <c r="G164" s="103" t="str">
        <f t="shared" si="6"/>
        <v> </v>
      </c>
      <c r="H164" s="104" t="str">
        <f t="shared" si="7"/>
        <v>D</v>
      </c>
      <c r="I164" s="129" t="str">
        <f t="shared" si="8"/>
        <v>D</v>
      </c>
      <c r="J164" s="5" t="s">
        <v>156</v>
      </c>
      <c r="K164" s="5">
        <f>600+2400+30+110</f>
        <v>3140</v>
      </c>
      <c r="L164" s="5">
        <f>299+1431+7+91</f>
        <v>1828</v>
      </c>
      <c r="M164" s="5">
        <v>3300</v>
      </c>
    </row>
    <row r="165" spans="1:13" ht="18.75" thickBot="1">
      <c r="A165" s="210" t="s">
        <v>142</v>
      </c>
      <c r="B165" s="211"/>
      <c r="C165" s="66">
        <f>SUM(C148:C164)</f>
        <v>-11411400</v>
      </c>
      <c r="D165" s="67">
        <f>SUM(D148:D164)</f>
        <v>-6448256</v>
      </c>
      <c r="E165" s="67">
        <f>SUM(E148:E164)</f>
        <v>-12051600</v>
      </c>
      <c r="F165" s="193">
        <f>SUM(F148:F164)</f>
        <v>-640200</v>
      </c>
      <c r="G165" s="194" t="str">
        <f t="shared" si="6"/>
        <v> </v>
      </c>
      <c r="H165" s="195" t="str">
        <f t="shared" si="7"/>
        <v>D</v>
      </c>
      <c r="I165" s="196" t="str">
        <f t="shared" si="8"/>
        <v>D</v>
      </c>
      <c r="J165" s="66"/>
      <c r="K165" s="67"/>
      <c r="L165" s="67"/>
      <c r="M165" s="72"/>
    </row>
    <row r="166" spans="1:13" ht="18">
      <c r="A166" s="29"/>
      <c r="B166" s="162"/>
      <c r="C166" s="30"/>
      <c r="D166" s="30"/>
      <c r="E166" s="30"/>
      <c r="F166" s="30"/>
      <c r="G166" s="31" t="str">
        <f t="shared" si="6"/>
        <v> </v>
      </c>
      <c r="H166" s="32" t="str">
        <f t="shared" si="7"/>
        <v> </v>
      </c>
      <c r="I166" s="33" t="str">
        <f t="shared" si="8"/>
        <v> </v>
      </c>
      <c r="J166" s="30"/>
      <c r="K166" s="30"/>
      <c r="L166" s="30"/>
      <c r="M166" s="30"/>
    </row>
    <row r="167" spans="1:13" ht="25.5">
      <c r="A167" s="2">
        <v>4140100035</v>
      </c>
      <c r="B167" s="141" t="s">
        <v>59</v>
      </c>
      <c r="C167" s="5">
        <v>-249600</v>
      </c>
      <c r="D167" s="5">
        <f>63095-180092</f>
        <v>-116997</v>
      </c>
      <c r="E167" s="5">
        <f>100000-340000</f>
        <v>-240000</v>
      </c>
      <c r="F167" s="6">
        <f>E167-C167</f>
        <v>9600</v>
      </c>
      <c r="G167" s="14" t="str">
        <f t="shared" si="6"/>
        <v> </v>
      </c>
      <c r="H167" s="15" t="str">
        <f t="shared" si="7"/>
        <v> </v>
      </c>
      <c r="I167" s="26" t="str">
        <f t="shared" si="8"/>
        <v> </v>
      </c>
      <c r="J167" s="5" t="s">
        <v>117</v>
      </c>
      <c r="K167" s="5">
        <f>700+1500+1000</f>
        <v>3200</v>
      </c>
      <c r="L167" s="5">
        <f>689+873+137</f>
        <v>1699</v>
      </c>
      <c r="M167" s="5">
        <v>3000</v>
      </c>
    </row>
    <row r="168" spans="1:13" ht="25.5">
      <c r="A168" s="2">
        <v>4140200035</v>
      </c>
      <c r="B168" s="141" t="s">
        <v>60</v>
      </c>
      <c r="C168" s="5">
        <v>-267700</v>
      </c>
      <c r="D168" s="5">
        <f>19609-197859</f>
        <v>-178250</v>
      </c>
      <c r="E168" s="5">
        <f>30000-310000</f>
        <v>-280000</v>
      </c>
      <c r="F168" s="5">
        <f>E168-C168</f>
        <v>-12300</v>
      </c>
      <c r="G168" s="14" t="str">
        <f t="shared" si="6"/>
        <v> </v>
      </c>
      <c r="H168" s="15" t="str">
        <f t="shared" si="7"/>
        <v> </v>
      </c>
      <c r="I168" s="24" t="str">
        <f t="shared" si="8"/>
        <v> </v>
      </c>
      <c r="J168" s="5" t="s">
        <v>157</v>
      </c>
      <c r="K168" s="5">
        <f>160+1200+2160+1080+450+200+75+30+300+60</f>
        <v>5715</v>
      </c>
      <c r="L168" s="5">
        <v>3378</v>
      </c>
      <c r="M168" s="5">
        <v>5900</v>
      </c>
    </row>
    <row r="169" spans="1:13" ht="18">
      <c r="A169" s="2">
        <v>4140300035</v>
      </c>
      <c r="B169" s="141" t="s">
        <v>61</v>
      </c>
      <c r="C169" s="5">
        <v>-239400</v>
      </c>
      <c r="D169" s="5">
        <f>2195-152173</f>
        <v>-149978</v>
      </c>
      <c r="E169" s="5">
        <f>2000-250000</f>
        <v>-248000</v>
      </c>
      <c r="F169" s="5">
        <f>E169-C169</f>
        <v>-8600</v>
      </c>
      <c r="G169" s="14" t="str">
        <f t="shared" si="6"/>
        <v> </v>
      </c>
      <c r="H169" s="15" t="str">
        <f t="shared" si="7"/>
        <v> </v>
      </c>
      <c r="I169" s="24" t="str">
        <f t="shared" si="8"/>
        <v> </v>
      </c>
      <c r="J169" s="5" t="s">
        <v>157</v>
      </c>
      <c r="K169" s="5">
        <f>2500+200+60</f>
        <v>2760</v>
      </c>
      <c r="L169" s="5">
        <f>2462+112+60</f>
        <v>2634</v>
      </c>
      <c r="M169" s="5">
        <v>4000</v>
      </c>
    </row>
    <row r="170" spans="1:13" ht="25.5">
      <c r="A170" s="2">
        <v>4120100035</v>
      </c>
      <c r="B170" s="141" t="s">
        <v>62</v>
      </c>
      <c r="C170" s="5">
        <v>-465200</v>
      </c>
      <c r="D170" s="5">
        <f>36945-254854</f>
        <v>-217909</v>
      </c>
      <c r="E170" s="5">
        <f>40000-450000</f>
        <v>-410000</v>
      </c>
      <c r="F170" s="97">
        <f>E170-C170</f>
        <v>55200</v>
      </c>
      <c r="G170" s="87" t="str">
        <f t="shared" si="6"/>
        <v>J</v>
      </c>
      <c r="H170" s="88" t="str">
        <f t="shared" si="7"/>
        <v> </v>
      </c>
      <c r="I170" s="98" t="str">
        <f t="shared" si="8"/>
        <v>J</v>
      </c>
      <c r="J170" s="5" t="s">
        <v>157</v>
      </c>
      <c r="K170" s="5">
        <f>4000</f>
        <v>4000</v>
      </c>
      <c r="L170" s="5">
        <v>2626</v>
      </c>
      <c r="M170" s="5">
        <v>4500</v>
      </c>
    </row>
    <row r="171" spans="1:13" ht="26.25" thickBot="1">
      <c r="A171" s="2">
        <v>4140400035</v>
      </c>
      <c r="B171" s="141" t="s">
        <v>63</v>
      </c>
      <c r="C171" s="5">
        <v>-461900</v>
      </c>
      <c r="D171" s="5">
        <f>31900-266093</f>
        <v>-234193</v>
      </c>
      <c r="E171" s="5">
        <f>72000-490000</f>
        <v>-418000</v>
      </c>
      <c r="F171" s="97">
        <f>E171-C171</f>
        <v>43900</v>
      </c>
      <c r="G171" s="87" t="str">
        <f t="shared" si="6"/>
        <v>J</v>
      </c>
      <c r="H171" s="88" t="str">
        <f t="shared" si="7"/>
        <v> </v>
      </c>
      <c r="I171" s="98" t="str">
        <f t="shared" si="8"/>
        <v>J</v>
      </c>
      <c r="J171" s="77" t="s">
        <v>161</v>
      </c>
      <c r="K171" s="5">
        <v>1600</v>
      </c>
      <c r="L171" s="5">
        <v>1333</v>
      </c>
      <c r="M171" s="5">
        <v>1500</v>
      </c>
    </row>
    <row r="172" spans="1:13" ht="18.75" thickBot="1">
      <c r="A172" s="210" t="s">
        <v>143</v>
      </c>
      <c r="B172" s="211"/>
      <c r="C172" s="66">
        <f>SUM(C167:C171)</f>
        <v>-1683800</v>
      </c>
      <c r="D172" s="67">
        <f>SUM(D167:D171)</f>
        <v>-897327</v>
      </c>
      <c r="E172" s="67">
        <f>SUM(E167:E171)</f>
        <v>-1596000</v>
      </c>
      <c r="F172" s="82">
        <f>SUM(F167:F171)</f>
        <v>87800</v>
      </c>
      <c r="G172" s="83" t="str">
        <f t="shared" si="6"/>
        <v>J</v>
      </c>
      <c r="H172" s="84" t="str">
        <f t="shared" si="7"/>
        <v> </v>
      </c>
      <c r="I172" s="85" t="str">
        <f t="shared" si="8"/>
        <v>J</v>
      </c>
      <c r="J172" s="66"/>
      <c r="K172" s="67"/>
      <c r="L172" s="67"/>
      <c r="M172" s="72"/>
    </row>
    <row r="173" spans="1:13" ht="18.75" thickBot="1">
      <c r="A173" s="29"/>
      <c r="B173" s="162"/>
      <c r="C173" s="30"/>
      <c r="D173" s="30"/>
      <c r="E173" s="30"/>
      <c r="F173" s="30"/>
      <c r="G173" s="31" t="str">
        <f t="shared" si="6"/>
        <v> </v>
      </c>
      <c r="H173" s="32" t="str">
        <f t="shared" si="7"/>
        <v> </v>
      </c>
      <c r="I173" s="33" t="str">
        <f t="shared" si="8"/>
        <v> </v>
      </c>
      <c r="J173" s="30"/>
      <c r="K173" s="30"/>
      <c r="L173" s="30"/>
      <c r="M173" s="30"/>
    </row>
    <row r="174" spans="1:13" ht="18.75" thickBot="1">
      <c r="A174" s="78" t="s">
        <v>144</v>
      </c>
      <c r="B174" s="178"/>
      <c r="C174" s="9">
        <f>C95+C115+C138+C146+C165+C172</f>
        <v>-67134700</v>
      </c>
      <c r="D174" s="9">
        <f>D95+D115+D138+D146+D165+D172</f>
        <v>-32217423</v>
      </c>
      <c r="E174" s="9">
        <f>E95+E115+E138+E146+E165+E172</f>
        <v>-67904400</v>
      </c>
      <c r="F174" s="193">
        <f>F95+F115+F138+F146+F165+F172</f>
        <v>-769700</v>
      </c>
      <c r="G174" s="194" t="str">
        <f t="shared" si="6"/>
        <v> </v>
      </c>
      <c r="H174" s="195" t="str">
        <f t="shared" si="7"/>
        <v>D</v>
      </c>
      <c r="I174" s="196" t="str">
        <f t="shared" si="8"/>
        <v>D</v>
      </c>
      <c r="J174" s="9"/>
      <c r="K174" s="9"/>
      <c r="L174" s="9"/>
      <c r="M174" s="9"/>
    </row>
    <row r="175" spans="1:10" ht="18">
      <c r="A175" s="4"/>
      <c r="B175" s="179"/>
      <c r="E175" s="7"/>
      <c r="F175" s="7"/>
      <c r="G175" s="14" t="str">
        <f t="shared" si="6"/>
        <v> </v>
      </c>
      <c r="H175" s="15" t="str">
        <f t="shared" si="7"/>
        <v> </v>
      </c>
      <c r="I175" s="23" t="str">
        <f t="shared" si="8"/>
        <v> </v>
      </c>
      <c r="J175" s="7"/>
    </row>
    <row r="176" spans="1:10" ht="18.75" hidden="1" thickBot="1">
      <c r="A176" s="4"/>
      <c r="B176" s="179"/>
      <c r="E176" s="7"/>
      <c r="F176" s="7"/>
      <c r="G176" s="14" t="str">
        <f aca="true" t="shared" si="20" ref="G176:G221">IF(E176-19999.99&gt;C176,"J"," ")</f>
        <v> </v>
      </c>
      <c r="H176" s="15" t="str">
        <f aca="true" t="shared" si="21" ref="H176:H221">IF(E176&lt;(C176-19999.99),"D"," ")</f>
        <v> </v>
      </c>
      <c r="I176" s="23" t="str">
        <f aca="true" t="shared" si="22" ref="I176:I221">IF(G176="J",G176,H176)</f>
        <v> </v>
      </c>
      <c r="J176" s="7"/>
    </row>
    <row r="177" spans="1:13" ht="18" hidden="1">
      <c r="A177" s="216" t="s">
        <v>64</v>
      </c>
      <c r="B177" s="217"/>
      <c r="C177" s="218"/>
      <c r="D177" s="8"/>
      <c r="E177" s="8"/>
      <c r="F177" s="8"/>
      <c r="G177" s="110" t="str">
        <f t="shared" si="20"/>
        <v> </v>
      </c>
      <c r="H177" s="111" t="str">
        <f t="shared" si="21"/>
        <v> </v>
      </c>
      <c r="I177" s="25" t="str">
        <f t="shared" si="22"/>
        <v> </v>
      </c>
      <c r="J177" s="8"/>
      <c r="K177" s="8"/>
      <c r="L177" s="8"/>
      <c r="M177" s="8"/>
    </row>
    <row r="178" spans="1:10" ht="18" hidden="1">
      <c r="A178" s="4"/>
      <c r="B178" s="179"/>
      <c r="E178" s="7"/>
      <c r="F178" s="7"/>
      <c r="G178" s="14" t="str">
        <f t="shared" si="20"/>
        <v> </v>
      </c>
      <c r="H178" s="15" t="str">
        <f t="shared" si="21"/>
        <v> </v>
      </c>
      <c r="I178" s="23" t="str">
        <f t="shared" si="22"/>
        <v> </v>
      </c>
      <c r="J178" s="7"/>
    </row>
    <row r="179" spans="1:13" ht="26.25" hidden="1">
      <c r="A179" s="2">
        <v>1111100500</v>
      </c>
      <c r="B179" s="141" t="s">
        <v>65</v>
      </c>
      <c r="C179" s="5">
        <v>-184100</v>
      </c>
      <c r="D179" s="5">
        <f>480-154965</f>
        <v>-154485</v>
      </c>
      <c r="E179" s="5">
        <f>15000-205000</f>
        <v>-190000</v>
      </c>
      <c r="F179" s="5">
        <f>E179-C179</f>
        <v>-5900</v>
      </c>
      <c r="G179" s="14" t="str">
        <f t="shared" si="20"/>
        <v> </v>
      </c>
      <c r="H179" s="15" t="str">
        <f t="shared" si="21"/>
        <v> </v>
      </c>
      <c r="I179" s="24" t="str">
        <f t="shared" si="22"/>
        <v> </v>
      </c>
      <c r="J179" s="5"/>
      <c r="K179" s="5"/>
      <c r="L179" s="5"/>
      <c r="M179" s="5"/>
    </row>
    <row r="180" spans="1:13" ht="18.75" hidden="1" thickBot="1">
      <c r="A180" s="2">
        <v>1111200500</v>
      </c>
      <c r="B180" s="145" t="s">
        <v>66</v>
      </c>
      <c r="C180" s="5">
        <v>-4100</v>
      </c>
      <c r="D180" s="5">
        <f>0-975</f>
        <v>-975</v>
      </c>
      <c r="E180" s="5">
        <f>0-4000</f>
        <v>-4000</v>
      </c>
      <c r="F180" s="5">
        <f>E180-C180</f>
        <v>100</v>
      </c>
      <c r="G180" s="14" t="str">
        <f t="shared" si="20"/>
        <v> </v>
      </c>
      <c r="H180" s="15" t="str">
        <f t="shared" si="21"/>
        <v> </v>
      </c>
      <c r="I180" s="24" t="str">
        <f t="shared" si="22"/>
        <v> </v>
      </c>
      <c r="J180" s="5"/>
      <c r="K180" s="5"/>
      <c r="L180" s="5"/>
      <c r="M180" s="5"/>
    </row>
    <row r="181" spans="1:13" ht="18.75" hidden="1" thickBot="1">
      <c r="A181" s="210" t="s">
        <v>118</v>
      </c>
      <c r="B181" s="211"/>
      <c r="C181" s="66">
        <f>SUM(C179:C180)</f>
        <v>-188200</v>
      </c>
      <c r="D181" s="67">
        <f>SUM(D179:D180)</f>
        <v>-155460</v>
      </c>
      <c r="E181" s="67">
        <f>SUM(E179:E180)</f>
        <v>-194000</v>
      </c>
      <c r="F181" s="67">
        <f>E181-C181</f>
        <v>-5800</v>
      </c>
      <c r="G181" s="64" t="str">
        <f t="shared" si="20"/>
        <v> </v>
      </c>
      <c r="H181" s="65" t="str">
        <f t="shared" si="21"/>
        <v> </v>
      </c>
      <c r="I181" s="68" t="str">
        <f t="shared" si="22"/>
        <v> </v>
      </c>
      <c r="J181" s="66"/>
      <c r="K181" s="67"/>
      <c r="L181" s="67"/>
      <c r="M181" s="72"/>
    </row>
    <row r="182" spans="1:13" ht="18" hidden="1">
      <c r="A182" s="29"/>
      <c r="B182" s="162"/>
      <c r="C182" s="30"/>
      <c r="D182" s="30"/>
      <c r="E182" s="30"/>
      <c r="F182" s="30"/>
      <c r="G182" s="31" t="str">
        <f t="shared" si="20"/>
        <v> </v>
      </c>
      <c r="H182" s="32" t="str">
        <f t="shared" si="21"/>
        <v> </v>
      </c>
      <c r="I182" s="33" t="str">
        <f t="shared" si="22"/>
        <v> </v>
      </c>
      <c r="J182" s="30"/>
      <c r="K182" s="30"/>
      <c r="L182" s="30"/>
      <c r="M182" s="30"/>
    </row>
    <row r="183" spans="1:13" ht="18.75" hidden="1" thickBot="1">
      <c r="A183" s="2">
        <v>1113100051</v>
      </c>
      <c r="B183" s="143" t="s">
        <v>67</v>
      </c>
      <c r="C183" s="5">
        <v>-205200</v>
      </c>
      <c r="D183" s="5">
        <f>453-97832</f>
        <v>-97379</v>
      </c>
      <c r="E183" s="5">
        <f>500-195000</f>
        <v>-194500</v>
      </c>
      <c r="F183" s="6">
        <f>E183-C183</f>
        <v>10700</v>
      </c>
      <c r="G183" s="14" t="str">
        <f t="shared" si="20"/>
        <v> </v>
      </c>
      <c r="H183" s="15" t="str">
        <f t="shared" si="21"/>
        <v> </v>
      </c>
      <c r="I183" s="26" t="str">
        <f t="shared" si="22"/>
        <v> </v>
      </c>
      <c r="J183" s="5"/>
      <c r="K183" s="5"/>
      <c r="L183" s="5"/>
      <c r="M183" s="5"/>
    </row>
    <row r="184" spans="1:13" ht="18.75" hidden="1" thickBot="1">
      <c r="A184" s="210" t="s">
        <v>119</v>
      </c>
      <c r="B184" s="211"/>
      <c r="C184" s="66">
        <f>SUM(C183:C183)</f>
        <v>-205200</v>
      </c>
      <c r="D184" s="67">
        <f>SUM(D183:D183)</f>
        <v>-97379</v>
      </c>
      <c r="E184" s="67">
        <f>SUM(E183:E183)</f>
        <v>-194500</v>
      </c>
      <c r="F184" s="67">
        <f>E184-C184</f>
        <v>10700</v>
      </c>
      <c r="G184" s="64" t="str">
        <f t="shared" si="20"/>
        <v> </v>
      </c>
      <c r="H184" s="65" t="str">
        <f t="shared" si="21"/>
        <v> </v>
      </c>
      <c r="I184" s="68" t="str">
        <f t="shared" si="22"/>
        <v> </v>
      </c>
      <c r="J184" s="66"/>
      <c r="K184" s="67"/>
      <c r="L184" s="67"/>
      <c r="M184" s="72"/>
    </row>
    <row r="185" spans="1:13" ht="18" hidden="1">
      <c r="A185" s="29"/>
      <c r="B185" s="162"/>
      <c r="C185" s="30"/>
      <c r="D185" s="30"/>
      <c r="E185" s="30"/>
      <c r="F185" s="30"/>
      <c r="G185" s="31" t="str">
        <f t="shared" si="20"/>
        <v> </v>
      </c>
      <c r="H185" s="32" t="str">
        <f t="shared" si="21"/>
        <v> </v>
      </c>
      <c r="I185" s="33" t="str">
        <f t="shared" si="22"/>
        <v> </v>
      </c>
      <c r="J185" s="30"/>
      <c r="K185" s="30"/>
      <c r="L185" s="30"/>
      <c r="M185" s="30"/>
    </row>
    <row r="186" spans="1:13" ht="18" hidden="1">
      <c r="A186" s="2">
        <v>1114100052</v>
      </c>
      <c r="B186" s="141" t="s">
        <v>68</v>
      </c>
      <c r="C186" s="5">
        <v>-277440</v>
      </c>
      <c r="D186" s="5">
        <f>2600-220827</f>
        <v>-218227</v>
      </c>
      <c r="E186" s="5">
        <f>85000-370000</f>
        <v>-285000</v>
      </c>
      <c r="F186" s="5">
        <f>E186-C186</f>
        <v>-7560</v>
      </c>
      <c r="G186" s="14" t="str">
        <f t="shared" si="20"/>
        <v> </v>
      </c>
      <c r="H186" s="15" t="str">
        <f t="shared" si="21"/>
        <v> </v>
      </c>
      <c r="I186" s="24" t="str">
        <f t="shared" si="22"/>
        <v> </v>
      </c>
      <c r="J186" s="5" t="s">
        <v>116</v>
      </c>
      <c r="K186" s="5">
        <f>4+1</f>
        <v>5</v>
      </c>
      <c r="L186" s="5"/>
      <c r="M186" s="5">
        <v>5</v>
      </c>
    </row>
    <row r="187" spans="1:13" ht="18.75" hidden="1" thickBot="1">
      <c r="A187" s="2">
        <v>1114200052</v>
      </c>
      <c r="B187" s="141" t="s">
        <v>69</v>
      </c>
      <c r="C187" s="5">
        <v>5240</v>
      </c>
      <c r="D187" s="5">
        <f>36250-39309</f>
        <v>-3059</v>
      </c>
      <c r="E187" s="5">
        <f>72000-70000</f>
        <v>2000</v>
      </c>
      <c r="F187" s="6">
        <f>E187-C187</f>
        <v>-3240</v>
      </c>
      <c r="G187" s="14" t="str">
        <f t="shared" si="20"/>
        <v> </v>
      </c>
      <c r="H187" s="15" t="str">
        <f t="shared" si="21"/>
        <v> </v>
      </c>
      <c r="I187" s="26" t="str">
        <f t="shared" si="22"/>
        <v> </v>
      </c>
      <c r="J187" s="5" t="s">
        <v>116</v>
      </c>
      <c r="K187" s="5">
        <f>11+9</f>
        <v>20</v>
      </c>
      <c r="L187" s="5"/>
      <c r="M187" s="5">
        <v>20</v>
      </c>
    </row>
    <row r="188" spans="1:13" ht="29.25" customHeight="1" hidden="1" thickBot="1">
      <c r="A188" s="210" t="s">
        <v>120</v>
      </c>
      <c r="B188" s="211"/>
      <c r="C188" s="66">
        <f>SUM(C186:C187)</f>
        <v>-272200</v>
      </c>
      <c r="D188" s="67">
        <f>SUM(D186:D187)</f>
        <v>-221286</v>
      </c>
      <c r="E188" s="67">
        <f>SUM(E186:E187)</f>
        <v>-283000</v>
      </c>
      <c r="F188" s="67">
        <f>E188-C188</f>
        <v>-10800</v>
      </c>
      <c r="G188" s="64" t="str">
        <f t="shared" si="20"/>
        <v> </v>
      </c>
      <c r="H188" s="65" t="str">
        <f t="shared" si="21"/>
        <v> </v>
      </c>
      <c r="I188" s="68" t="str">
        <f t="shared" si="22"/>
        <v> </v>
      </c>
      <c r="J188" s="66"/>
      <c r="K188" s="67"/>
      <c r="L188" s="67"/>
      <c r="M188" s="72"/>
    </row>
    <row r="189" spans="1:13" ht="18" hidden="1">
      <c r="A189" s="29"/>
      <c r="B189" s="162"/>
      <c r="C189" s="30"/>
      <c r="D189" s="30"/>
      <c r="E189" s="30"/>
      <c r="F189" s="30"/>
      <c r="G189" s="31" t="str">
        <f t="shared" si="20"/>
        <v> </v>
      </c>
      <c r="H189" s="32" t="str">
        <f t="shared" si="21"/>
        <v> </v>
      </c>
      <c r="I189" s="33" t="str">
        <f t="shared" si="22"/>
        <v> </v>
      </c>
      <c r="J189" s="30"/>
      <c r="K189" s="30"/>
      <c r="L189" s="30"/>
      <c r="M189" s="30"/>
    </row>
    <row r="190" spans="1:13" ht="18.75" hidden="1" thickBot="1">
      <c r="A190" s="2">
        <v>1116600053</v>
      </c>
      <c r="B190" s="143" t="s">
        <v>70</v>
      </c>
      <c r="C190" s="5">
        <v>-40800</v>
      </c>
      <c r="D190" s="5">
        <f>0-14673</f>
        <v>-14673</v>
      </c>
      <c r="E190" s="5">
        <f>30000-80000</f>
        <v>-50000</v>
      </c>
      <c r="F190" s="6">
        <f>E190-C190</f>
        <v>-9200</v>
      </c>
      <c r="G190" s="14" t="str">
        <f t="shared" si="20"/>
        <v> </v>
      </c>
      <c r="H190" s="15" t="str">
        <f t="shared" si="21"/>
        <v> </v>
      </c>
      <c r="I190" s="26" t="str">
        <f t="shared" si="22"/>
        <v> </v>
      </c>
      <c r="J190" s="5"/>
      <c r="K190" s="5"/>
      <c r="L190" s="5"/>
      <c r="M190" s="5"/>
    </row>
    <row r="191" spans="1:13" ht="18.75" hidden="1" thickBot="1">
      <c r="A191" s="210" t="s">
        <v>125</v>
      </c>
      <c r="B191" s="211"/>
      <c r="C191" s="66">
        <f>SUM(C190)</f>
        <v>-40800</v>
      </c>
      <c r="D191" s="67">
        <f>SUM(D190)</f>
        <v>-14673</v>
      </c>
      <c r="E191" s="67">
        <f>SUM(E190)</f>
        <v>-50000</v>
      </c>
      <c r="F191" s="67">
        <f>E191-C191</f>
        <v>-9200</v>
      </c>
      <c r="G191" s="64" t="str">
        <f t="shared" si="20"/>
        <v> </v>
      </c>
      <c r="H191" s="65" t="str">
        <f t="shared" si="21"/>
        <v> </v>
      </c>
      <c r="I191" s="68" t="str">
        <f t="shared" si="22"/>
        <v> </v>
      </c>
      <c r="J191" s="66"/>
      <c r="K191" s="67"/>
      <c r="L191" s="67"/>
      <c r="M191" s="72"/>
    </row>
    <row r="192" spans="1:13" ht="18" hidden="1">
      <c r="A192" s="29"/>
      <c r="B192" s="162"/>
      <c r="C192" s="30"/>
      <c r="D192" s="30"/>
      <c r="E192" s="30"/>
      <c r="F192" s="30"/>
      <c r="G192" s="31" t="str">
        <f t="shared" si="20"/>
        <v> </v>
      </c>
      <c r="H192" s="32" t="str">
        <f t="shared" si="21"/>
        <v> </v>
      </c>
      <c r="I192" s="33" t="str">
        <f t="shared" si="22"/>
        <v> </v>
      </c>
      <c r="J192" s="30"/>
      <c r="K192" s="30"/>
      <c r="L192" s="30"/>
      <c r="M192" s="30"/>
    </row>
    <row r="193" spans="1:13" ht="26.25" hidden="1">
      <c r="A193" s="2">
        <v>1112600054</v>
      </c>
      <c r="B193" s="141" t="s">
        <v>71</v>
      </c>
      <c r="C193" s="5">
        <v>-26320</v>
      </c>
      <c r="D193" s="5">
        <f>0-25867</f>
        <v>-25867</v>
      </c>
      <c r="E193" s="5">
        <f>27000-55000</f>
        <v>-28000</v>
      </c>
      <c r="F193" s="5">
        <f>E193-C193</f>
        <v>-1680</v>
      </c>
      <c r="G193" s="14" t="str">
        <f t="shared" si="20"/>
        <v> </v>
      </c>
      <c r="H193" s="15" t="str">
        <f t="shared" si="21"/>
        <v> </v>
      </c>
      <c r="I193" s="24" t="str">
        <f t="shared" si="22"/>
        <v> </v>
      </c>
      <c r="J193" s="5" t="s">
        <v>117</v>
      </c>
      <c r="K193" s="5">
        <f>32+40+3+35+150+10</f>
        <v>270</v>
      </c>
      <c r="L193" s="5">
        <v>177</v>
      </c>
      <c r="M193" s="5">
        <v>280</v>
      </c>
    </row>
    <row r="194" spans="1:13" ht="27" hidden="1" thickBot="1">
      <c r="A194" s="2">
        <v>1112700054</v>
      </c>
      <c r="B194" s="141" t="s">
        <v>72</v>
      </c>
      <c r="C194" s="5">
        <v>-62480</v>
      </c>
      <c r="D194" s="5">
        <f>3249-30160</f>
        <v>-26911</v>
      </c>
      <c r="E194" s="5">
        <f>3300-70000</f>
        <v>-66700</v>
      </c>
      <c r="F194" s="5">
        <f>E194-C194</f>
        <v>-4220</v>
      </c>
      <c r="G194" s="14" t="str">
        <f t="shared" si="20"/>
        <v> </v>
      </c>
      <c r="H194" s="15" t="str">
        <f t="shared" si="21"/>
        <v> </v>
      </c>
      <c r="I194" s="24" t="str">
        <f t="shared" si="22"/>
        <v> </v>
      </c>
      <c r="J194" s="5" t="s">
        <v>117</v>
      </c>
      <c r="K194" s="5">
        <f>3+72+30+40+70+20</f>
        <v>235</v>
      </c>
      <c r="L194" s="5">
        <v>113</v>
      </c>
      <c r="M194" s="5">
        <v>235</v>
      </c>
    </row>
    <row r="195" spans="1:13" ht="29.25" customHeight="1" hidden="1" thickBot="1">
      <c r="A195" s="210" t="s">
        <v>121</v>
      </c>
      <c r="B195" s="211"/>
      <c r="C195" s="66">
        <f>SUM(C193:C194)</f>
        <v>-88800</v>
      </c>
      <c r="D195" s="67">
        <f>SUM(D193:D194)</f>
        <v>-52778</v>
      </c>
      <c r="E195" s="67">
        <f>SUM(E193:E194)</f>
        <v>-94700</v>
      </c>
      <c r="F195" s="67">
        <f>E195-C195</f>
        <v>-5900</v>
      </c>
      <c r="G195" s="64" t="str">
        <f t="shared" si="20"/>
        <v> </v>
      </c>
      <c r="H195" s="65" t="str">
        <f t="shared" si="21"/>
        <v> </v>
      </c>
      <c r="I195" s="68" t="str">
        <f t="shared" si="22"/>
        <v> </v>
      </c>
      <c r="J195" s="66"/>
      <c r="K195" s="67"/>
      <c r="L195" s="67"/>
      <c r="M195" s="72"/>
    </row>
    <row r="196" spans="1:13" ht="18" hidden="1">
      <c r="A196" s="29"/>
      <c r="B196" s="162"/>
      <c r="C196" s="30"/>
      <c r="D196" s="30"/>
      <c r="E196" s="30"/>
      <c r="F196" s="30"/>
      <c r="G196" s="31" t="str">
        <f t="shared" si="20"/>
        <v> </v>
      </c>
      <c r="H196" s="32" t="str">
        <f t="shared" si="21"/>
        <v> </v>
      </c>
      <c r="I196" s="33" t="str">
        <f t="shared" si="22"/>
        <v> </v>
      </c>
      <c r="J196" s="30"/>
      <c r="K196" s="30"/>
      <c r="L196" s="30"/>
      <c r="M196" s="30"/>
    </row>
    <row r="197" spans="1:13" ht="26.25" hidden="1">
      <c r="A197" s="2">
        <v>1112800055</v>
      </c>
      <c r="B197" s="141" t="s">
        <v>73</v>
      </c>
      <c r="C197" s="5">
        <v>-97224</v>
      </c>
      <c r="D197" s="5">
        <f>25-52869</f>
        <v>-52844</v>
      </c>
      <c r="E197" s="5">
        <f>17000-120000</f>
        <v>-103000</v>
      </c>
      <c r="F197" s="5">
        <f>E197-C197</f>
        <v>-5776</v>
      </c>
      <c r="G197" s="14" t="str">
        <f t="shared" si="20"/>
        <v> </v>
      </c>
      <c r="H197" s="15" t="str">
        <f t="shared" si="21"/>
        <v> </v>
      </c>
      <c r="I197" s="24" t="str">
        <f t="shared" si="22"/>
        <v> </v>
      </c>
      <c r="J197" s="77" t="s">
        <v>234</v>
      </c>
      <c r="K197" s="5">
        <v>48</v>
      </c>
      <c r="L197" s="5"/>
      <c r="M197" s="5">
        <v>40</v>
      </c>
    </row>
    <row r="198" spans="1:13" ht="18" hidden="1">
      <c r="A198" s="2">
        <v>1111600055</v>
      </c>
      <c r="B198" s="142" t="s">
        <v>74</v>
      </c>
      <c r="C198" s="5">
        <v>-102748</v>
      </c>
      <c r="D198" s="5">
        <f>29-48378</f>
        <v>-48349</v>
      </c>
      <c r="E198" s="5">
        <f>100-104000</f>
        <v>-103900</v>
      </c>
      <c r="F198" s="5">
        <f>E198-C198</f>
        <v>-1152</v>
      </c>
      <c r="G198" s="14" t="str">
        <f t="shared" si="20"/>
        <v> </v>
      </c>
      <c r="H198" s="15" t="str">
        <f t="shared" si="21"/>
        <v> </v>
      </c>
      <c r="I198" s="24" t="str">
        <f t="shared" si="22"/>
        <v> </v>
      </c>
      <c r="J198" s="5"/>
      <c r="K198" s="5"/>
      <c r="L198" s="5"/>
      <c r="M198" s="5"/>
    </row>
    <row r="199" spans="1:13" ht="27" hidden="1" thickBot="1">
      <c r="A199" s="2">
        <v>1111000055</v>
      </c>
      <c r="B199" s="141" t="s">
        <v>75</v>
      </c>
      <c r="C199" s="5">
        <v>-288828</v>
      </c>
      <c r="D199" s="5">
        <f>2644-194436</f>
        <v>-191792</v>
      </c>
      <c r="E199" s="5">
        <f>35000-330000</f>
        <v>-295000</v>
      </c>
      <c r="F199" s="6">
        <f>E199-C199</f>
        <v>-6172</v>
      </c>
      <c r="G199" s="14" t="str">
        <f t="shared" si="20"/>
        <v> </v>
      </c>
      <c r="H199" s="15" t="str">
        <f t="shared" si="21"/>
        <v> </v>
      </c>
      <c r="I199" s="26" t="str">
        <f t="shared" si="22"/>
        <v> </v>
      </c>
      <c r="J199" s="5"/>
      <c r="K199" s="5"/>
      <c r="L199" s="5"/>
      <c r="M199" s="5"/>
    </row>
    <row r="200" spans="1:13" ht="29.25" customHeight="1" hidden="1" thickBot="1">
      <c r="A200" s="210" t="s">
        <v>122</v>
      </c>
      <c r="B200" s="211"/>
      <c r="C200" s="66">
        <f>SUM(C197:C199)</f>
        <v>-488800</v>
      </c>
      <c r="D200" s="67">
        <f>SUM(D197:D199)</f>
        <v>-292985</v>
      </c>
      <c r="E200" s="67">
        <f>SUM(E197:E199)</f>
        <v>-501900</v>
      </c>
      <c r="F200" s="67">
        <f>E200-C200</f>
        <v>-13100</v>
      </c>
      <c r="G200" s="64" t="str">
        <f t="shared" si="20"/>
        <v> </v>
      </c>
      <c r="H200" s="65" t="str">
        <f t="shared" si="21"/>
        <v> </v>
      </c>
      <c r="I200" s="68" t="str">
        <f t="shared" si="22"/>
        <v> </v>
      </c>
      <c r="J200" s="66"/>
      <c r="K200" s="67"/>
      <c r="L200" s="67"/>
      <c r="M200" s="72"/>
    </row>
    <row r="201" spans="1:13" ht="18" hidden="1">
      <c r="A201" s="29"/>
      <c r="B201" s="162"/>
      <c r="C201" s="30"/>
      <c r="D201" s="30"/>
      <c r="E201" s="30"/>
      <c r="F201" s="30"/>
      <c r="G201" s="31" t="str">
        <f t="shared" si="20"/>
        <v> </v>
      </c>
      <c r="H201" s="32" t="str">
        <f t="shared" si="21"/>
        <v> </v>
      </c>
      <c r="I201" s="33" t="str">
        <f t="shared" si="22"/>
        <v> </v>
      </c>
      <c r="J201" s="30"/>
      <c r="K201" s="30"/>
      <c r="L201" s="30"/>
      <c r="M201" s="30"/>
    </row>
    <row r="202" spans="1:13" ht="18.75" hidden="1" thickBot="1">
      <c r="A202" s="2">
        <v>5711000056</v>
      </c>
      <c r="B202" s="180" t="s">
        <v>76</v>
      </c>
      <c r="C202" s="5">
        <v>-603600</v>
      </c>
      <c r="D202" s="5">
        <f>0-364774</f>
        <v>-364774</v>
      </c>
      <c r="E202" s="5">
        <f>0-604000</f>
        <v>-604000</v>
      </c>
      <c r="F202" s="6">
        <f>E202-C202</f>
        <v>-400</v>
      </c>
      <c r="G202" s="14" t="str">
        <f t="shared" si="20"/>
        <v> </v>
      </c>
      <c r="H202" s="15" t="str">
        <f t="shared" si="21"/>
        <v> </v>
      </c>
      <c r="I202" s="26" t="str">
        <f t="shared" si="22"/>
        <v> </v>
      </c>
      <c r="J202" s="5" t="s">
        <v>117</v>
      </c>
      <c r="K202" s="5">
        <v>5</v>
      </c>
      <c r="L202" s="5"/>
      <c r="M202" s="5"/>
    </row>
    <row r="203" spans="1:13" ht="18.75" hidden="1" thickBot="1">
      <c r="A203" s="210" t="s">
        <v>123</v>
      </c>
      <c r="B203" s="211"/>
      <c r="C203" s="66">
        <f>SUM(C202)</f>
        <v>-603600</v>
      </c>
      <c r="D203" s="67">
        <f>SUM(D202)</f>
        <v>-364774</v>
      </c>
      <c r="E203" s="67">
        <f>SUM(E202)</f>
        <v>-604000</v>
      </c>
      <c r="F203" s="67">
        <f>E203-C203</f>
        <v>-400</v>
      </c>
      <c r="G203" s="64" t="str">
        <f t="shared" si="20"/>
        <v> </v>
      </c>
      <c r="H203" s="65" t="str">
        <f t="shared" si="21"/>
        <v> </v>
      </c>
      <c r="I203" s="68" t="str">
        <f t="shared" si="22"/>
        <v> </v>
      </c>
      <c r="J203" s="66"/>
      <c r="K203" s="67"/>
      <c r="L203" s="67"/>
      <c r="M203" s="72"/>
    </row>
    <row r="204" spans="1:13" ht="18" hidden="1">
      <c r="A204" s="29"/>
      <c r="B204" s="162"/>
      <c r="C204" s="30"/>
      <c r="D204" s="30"/>
      <c r="E204" s="30"/>
      <c r="F204" s="30"/>
      <c r="G204" s="31" t="str">
        <f t="shared" si="20"/>
        <v> </v>
      </c>
      <c r="H204" s="32" t="str">
        <f t="shared" si="21"/>
        <v> </v>
      </c>
      <c r="I204" s="33" t="str">
        <f t="shared" si="22"/>
        <v> </v>
      </c>
      <c r="J204" s="30"/>
      <c r="K204" s="30"/>
      <c r="L204" s="30"/>
      <c r="M204" s="30"/>
    </row>
    <row r="205" spans="1:13" ht="39.75" hidden="1" thickBot="1">
      <c r="A205" s="2">
        <v>1112000057</v>
      </c>
      <c r="B205" s="141" t="s">
        <v>77</v>
      </c>
      <c r="C205" s="5">
        <v>-45600</v>
      </c>
      <c r="D205" s="5">
        <f>0-6484</f>
        <v>-6484</v>
      </c>
      <c r="E205" s="5">
        <f>0-30000</f>
        <v>-30000</v>
      </c>
      <c r="F205" s="6">
        <f>E205-C205</f>
        <v>15600</v>
      </c>
      <c r="G205" s="14" t="str">
        <f t="shared" si="20"/>
        <v> </v>
      </c>
      <c r="H205" s="15" t="str">
        <f t="shared" si="21"/>
        <v> </v>
      </c>
      <c r="I205" s="26" t="str">
        <f t="shared" si="22"/>
        <v> </v>
      </c>
      <c r="J205" s="5"/>
      <c r="K205" s="5"/>
      <c r="L205" s="5"/>
      <c r="M205" s="5"/>
    </row>
    <row r="206" spans="1:13" ht="29.25" customHeight="1" hidden="1" thickBot="1">
      <c r="A206" s="210" t="s">
        <v>124</v>
      </c>
      <c r="B206" s="211"/>
      <c r="C206" s="66">
        <f>SUM(C205)</f>
        <v>-45600</v>
      </c>
      <c r="D206" s="67">
        <f>SUM(D205)</f>
        <v>-6484</v>
      </c>
      <c r="E206" s="67">
        <f>SUM(E205)</f>
        <v>-30000</v>
      </c>
      <c r="F206" s="198">
        <f>E206-C206</f>
        <v>15600</v>
      </c>
      <c r="G206" s="199" t="str">
        <f t="shared" si="20"/>
        <v> </v>
      </c>
      <c r="H206" s="200" t="str">
        <f t="shared" si="21"/>
        <v> </v>
      </c>
      <c r="I206" s="201" t="str">
        <f t="shared" si="22"/>
        <v> </v>
      </c>
      <c r="J206" s="66"/>
      <c r="K206" s="67"/>
      <c r="L206" s="67"/>
      <c r="M206" s="72"/>
    </row>
    <row r="207" spans="1:13" ht="18" hidden="1">
      <c r="A207" s="29"/>
      <c r="B207" s="162"/>
      <c r="C207" s="30"/>
      <c r="D207" s="30"/>
      <c r="E207" s="30"/>
      <c r="F207" s="30"/>
      <c r="G207" s="31" t="str">
        <f t="shared" si="20"/>
        <v> </v>
      </c>
      <c r="H207" s="32" t="str">
        <f t="shared" si="21"/>
        <v> </v>
      </c>
      <c r="I207" s="33" t="str">
        <f t="shared" si="22"/>
        <v> </v>
      </c>
      <c r="J207" s="30"/>
      <c r="K207" s="30"/>
      <c r="L207" s="30"/>
      <c r="M207" s="30"/>
    </row>
    <row r="208" spans="1:13" ht="27" customHeight="1" hidden="1" thickBot="1">
      <c r="A208" s="112"/>
      <c r="B208" s="178" t="s">
        <v>78</v>
      </c>
      <c r="C208" s="9">
        <f>C181+C184+C188+C191+C195+C200+C203+C206</f>
        <v>-1933200</v>
      </c>
      <c r="D208" s="9">
        <f>D181+D184+D188+D191+D195+D200+D203+D206</f>
        <v>-1205819</v>
      </c>
      <c r="E208" s="9">
        <f>E181+E184+E188+E191+E195+E200+E203+E206</f>
        <v>-1952100</v>
      </c>
      <c r="F208" s="9">
        <f>E208-C208</f>
        <v>-18900</v>
      </c>
      <c r="G208" s="9" t="str">
        <f t="shared" si="20"/>
        <v> </v>
      </c>
      <c r="H208" s="9" t="str">
        <f t="shared" si="21"/>
        <v> </v>
      </c>
      <c r="I208" s="9" t="str">
        <f t="shared" si="22"/>
        <v> </v>
      </c>
      <c r="J208" s="9"/>
      <c r="K208" s="9"/>
      <c r="L208" s="9"/>
      <c r="M208" s="9"/>
    </row>
    <row r="209" spans="1:10" ht="16.5" customHeight="1" hidden="1">
      <c r="A209" s="4"/>
      <c r="B209" s="179"/>
      <c r="E209" s="7"/>
      <c r="F209" s="7"/>
      <c r="G209" s="14" t="str">
        <f t="shared" si="20"/>
        <v> </v>
      </c>
      <c r="H209" s="15" t="str">
        <f t="shared" si="21"/>
        <v> </v>
      </c>
      <c r="I209" s="23" t="str">
        <f t="shared" si="22"/>
        <v> </v>
      </c>
      <c r="J209" s="7"/>
    </row>
    <row r="210" spans="1:13" ht="18" hidden="1">
      <c r="A210" s="2">
        <v>6111000080</v>
      </c>
      <c r="B210" s="141" t="s">
        <v>241</v>
      </c>
      <c r="C210" s="5">
        <v>79967200</v>
      </c>
      <c r="D210" s="5">
        <v>79846071</v>
      </c>
      <c r="E210" s="5">
        <v>80150000</v>
      </c>
      <c r="F210" s="97">
        <f>E210-C210</f>
        <v>182800</v>
      </c>
      <c r="G210" s="87" t="str">
        <f>IF(E210-19999.99&gt;C210,"J"," ")</f>
        <v>J</v>
      </c>
      <c r="H210" s="88" t="str">
        <f>IF(E210&lt;(C210-19999.99),"D"," ")</f>
        <v> </v>
      </c>
      <c r="I210" s="98" t="str">
        <f>IF(G210="J",G210,H210)</f>
        <v>J</v>
      </c>
      <c r="J210" s="5"/>
      <c r="K210" s="5"/>
      <c r="L210" s="5"/>
      <c r="M210" s="5"/>
    </row>
    <row r="211" spans="1:13" ht="26.25" hidden="1">
      <c r="A211" s="2">
        <v>6121000080</v>
      </c>
      <c r="B211" s="141" t="s">
        <v>242</v>
      </c>
      <c r="C211" s="5">
        <v>-2774800</v>
      </c>
      <c r="D211" s="5">
        <v>343244</v>
      </c>
      <c r="E211" s="5">
        <v>-2360000</v>
      </c>
      <c r="F211" s="97">
        <f>E211-C211</f>
        <v>414800</v>
      </c>
      <c r="G211" s="87" t="str">
        <f>IF(E211-19999.99&gt;C211,"J"," ")</f>
        <v>J</v>
      </c>
      <c r="H211" s="88" t="str">
        <f>IF(E211&lt;(C211-19999.99),"D"," ")</f>
        <v> </v>
      </c>
      <c r="I211" s="98" t="str">
        <f>IF(G211="J",G211,H211)</f>
        <v>J</v>
      </c>
      <c r="J211" s="5"/>
      <c r="K211" s="5"/>
      <c r="L211" s="5"/>
      <c r="M211" s="5"/>
    </row>
    <row r="212" spans="1:13" ht="18" hidden="1">
      <c r="A212" s="2">
        <v>6131000080</v>
      </c>
      <c r="B212" s="141" t="s">
        <v>243</v>
      </c>
      <c r="C212" s="5">
        <v>-61785400</v>
      </c>
      <c r="D212" s="5">
        <v>-56071246</v>
      </c>
      <c r="E212" s="5">
        <v>-56071246</v>
      </c>
      <c r="F212" s="97">
        <f>E212-C212</f>
        <v>5714154</v>
      </c>
      <c r="G212" s="87" t="str">
        <f>IF(E212-19999.99&gt;C212,"J"," ")</f>
        <v>J</v>
      </c>
      <c r="H212" s="88" t="str">
        <f>IF(E212&lt;(C212-19999.99),"D"," ")</f>
        <v> </v>
      </c>
      <c r="I212" s="98" t="str">
        <f>IF(G212="J",G212,H212)</f>
        <v>J</v>
      </c>
      <c r="J212" s="5"/>
      <c r="K212" s="5"/>
      <c r="L212" s="5"/>
      <c r="M212" s="5"/>
    </row>
    <row r="213" spans="1:10" ht="13.5" customHeight="1" hidden="1" thickBot="1">
      <c r="A213" s="4"/>
      <c r="B213" s="179"/>
      <c r="E213" s="7"/>
      <c r="F213" s="7"/>
      <c r="G213" s="14" t="str">
        <f t="shared" si="20"/>
        <v> </v>
      </c>
      <c r="H213" s="15" t="str">
        <f t="shared" si="21"/>
        <v> </v>
      </c>
      <c r="I213" s="23" t="str">
        <f t="shared" si="22"/>
        <v> </v>
      </c>
      <c r="J213" s="7"/>
    </row>
    <row r="214" spans="1:13" ht="27" hidden="1" thickBot="1">
      <c r="A214" s="114">
        <v>8000000000</v>
      </c>
      <c r="B214" s="181" t="s">
        <v>79</v>
      </c>
      <c r="C214" s="108">
        <f>SUM(C210:C212)</f>
        <v>15407000</v>
      </c>
      <c r="D214" s="108">
        <f>SUM(D210:D212)</f>
        <v>24118069</v>
      </c>
      <c r="E214" s="108">
        <f>SUM(E210:E212)</f>
        <v>21718754</v>
      </c>
      <c r="F214" s="82">
        <f>SUM(F210:F212)</f>
        <v>6311754</v>
      </c>
      <c r="G214" s="87" t="str">
        <f t="shared" si="20"/>
        <v>J</v>
      </c>
      <c r="H214" s="88" t="str">
        <f t="shared" si="21"/>
        <v> </v>
      </c>
      <c r="I214" s="99" t="str">
        <f t="shared" si="22"/>
        <v>J</v>
      </c>
      <c r="J214" s="108"/>
      <c r="K214" s="108"/>
      <c r="L214" s="108"/>
      <c r="M214" s="108"/>
    </row>
    <row r="215" spans="5:10" ht="18" hidden="1">
      <c r="E215" s="7"/>
      <c r="F215" s="7"/>
      <c r="G215" s="14" t="str">
        <f t="shared" si="20"/>
        <v> </v>
      </c>
      <c r="H215" s="15" t="str">
        <f t="shared" si="21"/>
        <v> </v>
      </c>
      <c r="I215" s="23" t="str">
        <f t="shared" si="22"/>
        <v> </v>
      </c>
      <c r="J215" s="7"/>
    </row>
    <row r="216" spans="5:10" ht="18.75" hidden="1" thickBot="1">
      <c r="E216" s="7"/>
      <c r="F216" s="7"/>
      <c r="G216" s="115" t="str">
        <f t="shared" si="20"/>
        <v> </v>
      </c>
      <c r="H216" s="116" t="str">
        <f t="shared" si="21"/>
        <v> </v>
      </c>
      <c r="I216" s="23" t="str">
        <f t="shared" si="22"/>
        <v> </v>
      </c>
      <c r="J216" s="7"/>
    </row>
    <row r="217" spans="1:13" ht="18" hidden="1">
      <c r="A217" s="117"/>
      <c r="B217" s="183" t="s">
        <v>80</v>
      </c>
      <c r="C217" s="10">
        <f>C214+C208+C174+C91+C52</f>
        <v>-63874000</v>
      </c>
      <c r="D217" s="10">
        <f>D214+D208+D174+D91+D52</f>
        <v>-14726581</v>
      </c>
      <c r="E217" s="10">
        <f>E214+E208+E174+E91+E52</f>
        <v>-57363633</v>
      </c>
      <c r="F217" s="100">
        <f>E217-C217</f>
        <v>6510367</v>
      </c>
      <c r="G217" s="91" t="str">
        <f t="shared" si="20"/>
        <v>J</v>
      </c>
      <c r="H217" s="92" t="str">
        <f t="shared" si="21"/>
        <v> </v>
      </c>
      <c r="I217" s="123" t="str">
        <f t="shared" si="22"/>
        <v>J</v>
      </c>
      <c r="J217" s="118"/>
      <c r="K217" s="118"/>
      <c r="L217" s="118"/>
      <c r="M217" s="118"/>
    </row>
    <row r="218" spans="1:13" ht="18" hidden="1">
      <c r="A218" s="119"/>
      <c r="B218" s="184"/>
      <c r="C218" s="11"/>
      <c r="D218" s="11"/>
      <c r="E218" s="11"/>
      <c r="F218" s="11"/>
      <c r="G218" s="14" t="str">
        <f t="shared" si="20"/>
        <v> </v>
      </c>
      <c r="H218" s="15" t="str">
        <f t="shared" si="21"/>
        <v> </v>
      </c>
      <c r="I218" s="124" t="str">
        <f t="shared" si="22"/>
        <v> </v>
      </c>
      <c r="J218" s="120"/>
      <c r="K218" s="120"/>
      <c r="L218" s="120"/>
      <c r="M218" s="120"/>
    </row>
    <row r="219" spans="1:13" ht="26.25" hidden="1">
      <c r="A219" s="119"/>
      <c r="B219" s="184" t="s">
        <v>81</v>
      </c>
      <c r="C219" s="11">
        <v>-61785400</v>
      </c>
      <c r="D219" s="11">
        <v>-56071245.995</v>
      </c>
      <c r="E219" s="11">
        <v>-56071245.995</v>
      </c>
      <c r="F219" s="122">
        <f>E219-C219</f>
        <v>5714154.005000003</v>
      </c>
      <c r="G219" s="87" t="str">
        <f t="shared" si="20"/>
        <v>J</v>
      </c>
      <c r="H219" s="88" t="str">
        <f t="shared" si="21"/>
        <v> </v>
      </c>
      <c r="I219" s="89" t="str">
        <f t="shared" si="22"/>
        <v>J</v>
      </c>
      <c r="J219" s="120"/>
      <c r="K219" s="120"/>
      <c r="L219" s="120"/>
      <c r="M219" s="120"/>
    </row>
    <row r="220" spans="1:13" ht="18" hidden="1">
      <c r="A220" s="119"/>
      <c r="B220" s="184"/>
      <c r="C220" s="11"/>
      <c r="D220" s="11"/>
      <c r="E220" s="11"/>
      <c r="F220" s="11"/>
      <c r="G220" s="14" t="str">
        <f t="shared" si="20"/>
        <v> </v>
      </c>
      <c r="H220" s="15" t="str">
        <f t="shared" si="21"/>
        <v> </v>
      </c>
      <c r="I220" s="124" t="str">
        <f t="shared" si="22"/>
        <v> </v>
      </c>
      <c r="J220" s="120"/>
      <c r="K220" s="120"/>
      <c r="L220" s="120"/>
      <c r="M220" s="120"/>
    </row>
    <row r="221" spans="1:13" ht="18.75" hidden="1" thickBot="1">
      <c r="A221" s="119"/>
      <c r="B221" s="185" t="s">
        <v>82</v>
      </c>
      <c r="C221" s="12">
        <f>C217-C219</f>
        <v>-2088600</v>
      </c>
      <c r="D221" s="12">
        <f>D217-D219</f>
        <v>41344664.995</v>
      </c>
      <c r="E221" s="12">
        <f>E217-E219</f>
        <v>-1292387.0050000027</v>
      </c>
      <c r="F221" s="101">
        <f>E221-C221</f>
        <v>796212.9949999973</v>
      </c>
      <c r="G221" s="125" t="str">
        <f t="shared" si="20"/>
        <v>J</v>
      </c>
      <c r="H221" s="126" t="str">
        <f t="shared" si="21"/>
        <v> </v>
      </c>
      <c r="I221" s="127" t="str">
        <f t="shared" si="22"/>
        <v>J</v>
      </c>
      <c r="J221" s="121"/>
      <c r="K221" s="121"/>
      <c r="L221" s="121"/>
      <c r="M221" s="121"/>
    </row>
    <row r="222" ht="18" hidden="1"/>
    <row r="223" ht="18" hidden="1"/>
    <row r="224" ht="18" hidden="1"/>
    <row r="225" ht="18" hidden="1"/>
    <row r="226" ht="18" hidden="1"/>
    <row r="227" ht="18" hidden="1"/>
    <row r="375" ht="18"/>
    <row r="376" ht="18"/>
    <row r="377" ht="18"/>
  </sheetData>
  <mergeCells count="72">
    <mergeCell ref="E72:E73"/>
    <mergeCell ref="F72:F73"/>
    <mergeCell ref="I72:I73"/>
    <mergeCell ref="A160:A162"/>
    <mergeCell ref="B160:B162"/>
    <mergeCell ref="C160:C162"/>
    <mergeCell ref="D160:D162"/>
    <mergeCell ref="E160:E162"/>
    <mergeCell ref="F160:F162"/>
    <mergeCell ref="A72:A73"/>
    <mergeCell ref="A1:M1"/>
    <mergeCell ref="D70:D71"/>
    <mergeCell ref="E70:E71"/>
    <mergeCell ref="C3:I3"/>
    <mergeCell ref="J3:M3"/>
    <mergeCell ref="A3:B3"/>
    <mergeCell ref="A8:B8"/>
    <mergeCell ref="A10:B10"/>
    <mergeCell ref="A20:B20"/>
    <mergeCell ref="A25:B25"/>
    <mergeCell ref="I160:I162"/>
    <mergeCell ref="F70:F71"/>
    <mergeCell ref="I70:I71"/>
    <mergeCell ref="D68:D69"/>
    <mergeCell ref="E68:E69"/>
    <mergeCell ref="F68:F69"/>
    <mergeCell ref="I68:I69"/>
    <mergeCell ref="F82:F83"/>
    <mergeCell ref="I82:I83"/>
    <mergeCell ref="D72:D73"/>
    <mergeCell ref="A29:B29"/>
    <mergeCell ref="A31:B31"/>
    <mergeCell ref="A40:B40"/>
    <mergeCell ref="A47:B47"/>
    <mergeCell ref="A50:B50"/>
    <mergeCell ref="A95:B95"/>
    <mergeCell ref="A82:A83"/>
    <mergeCell ref="B82:B83"/>
    <mergeCell ref="B72:B73"/>
    <mergeCell ref="A55:D55"/>
    <mergeCell ref="C68:C69"/>
    <mergeCell ref="A70:A71"/>
    <mergeCell ref="B70:B71"/>
    <mergeCell ref="C70:C71"/>
    <mergeCell ref="C82:C83"/>
    <mergeCell ref="A89:B89"/>
    <mergeCell ref="A93:D93"/>
    <mergeCell ref="A87:B87"/>
    <mergeCell ref="A181:B181"/>
    <mergeCell ref="A184:B184"/>
    <mergeCell ref="A115:B115"/>
    <mergeCell ref="A138:B138"/>
    <mergeCell ref="A146:B146"/>
    <mergeCell ref="A165:B165"/>
    <mergeCell ref="A172:B172"/>
    <mergeCell ref="A177:C177"/>
    <mergeCell ref="A203:B203"/>
    <mergeCell ref="A206:B206"/>
    <mergeCell ref="A188:B188"/>
    <mergeCell ref="A191:B191"/>
    <mergeCell ref="A195:B195"/>
    <mergeCell ref="A200:B200"/>
    <mergeCell ref="A6:D6"/>
    <mergeCell ref="D82:D83"/>
    <mergeCell ref="E82:E83"/>
    <mergeCell ref="A80:B80"/>
    <mergeCell ref="A66:B66"/>
    <mergeCell ref="A75:B75"/>
    <mergeCell ref="A57:B57"/>
    <mergeCell ref="A68:A69"/>
    <mergeCell ref="B68:B69"/>
    <mergeCell ref="C72:C73"/>
  </mergeCells>
  <printOptions horizontalCentered="1"/>
  <pageMargins left="0.3937007874015748" right="0.3937007874015748" top="0.88" bottom="0.42" header="0.5118110236220472" footer="0.1968503937007874"/>
  <pageSetup fitToHeight="0" fitToWidth="1" horizontalDpi="300" verticalDpi="300" orientation="landscape" paperSize="9" scale="95" r:id="rId4"/>
  <headerFooter alignWithMargins="0">
    <oddFooter>&amp;CSeite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Peine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TS7</dc:creator>
  <cp:keywords/>
  <dc:description/>
  <cp:lastModifiedBy>Administrator</cp:lastModifiedBy>
  <cp:lastPrinted>2008-08-14T12:25:09Z</cp:lastPrinted>
  <dcterms:created xsi:type="dcterms:W3CDTF">2007-06-12T07:44:09Z</dcterms:created>
  <dcterms:modified xsi:type="dcterms:W3CDTF">2008-08-27T07:35:01Z</dcterms:modified>
  <cp:category/>
  <cp:version/>
  <cp:contentType/>
  <cp:contentStatus/>
</cp:coreProperties>
</file>