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50" windowHeight="11025" tabRatio="867" activeTab="0"/>
  </bookViews>
  <sheets>
    <sheet name="Vorb10 10" sheetId="1" r:id="rId1"/>
    <sheet name="Vorb10 11" sheetId="2" r:id="rId2"/>
    <sheet name="Vorb10 12" sheetId="3" r:id="rId3"/>
    <sheet name="Vorb10 18-20" sheetId="4" r:id="rId4"/>
    <sheet name="Vorb10 13" sheetId="5" r:id="rId5"/>
    <sheet name="Vorb10 21" sheetId="6" r:id="rId6"/>
    <sheet name="Werte09" sheetId="7" r:id="rId7"/>
    <sheet name="Diagramm VwH" sheetId="8" r:id="rId8"/>
    <sheet name="Diagramm VmH" sheetId="9" r:id="rId9"/>
    <sheet name="Tabelle1" sheetId="10" r:id="rId10"/>
    <sheet name="KK" sheetId="11" r:id="rId11"/>
  </sheets>
  <definedNames>
    <definedName name="_xlnm.Print_Area" localSheetId="3">'Vorb10 18-20'!$A$1:$C$136</definedName>
    <definedName name="_xlnm.Print_Area" localSheetId="5">'Vorb10 21'!$A$1:$E$54</definedName>
  </definedNames>
  <calcPr fullCalcOnLoad="1"/>
</workbook>
</file>

<file path=xl/comments11.xml><?xml version="1.0" encoding="utf-8"?>
<comments xmlns="http://schemas.openxmlformats.org/spreadsheetml/2006/main">
  <authors>
    <author>Notka, Heike</author>
  </authors>
  <commentList>
    <comment ref="B3" authorId="0">
      <text>
        <r>
          <rPr>
            <b/>
            <sz val="8"/>
            <rFont val="Tahoma"/>
            <family val="0"/>
          </rPr>
          <t>Guttmann:</t>
        </r>
        <r>
          <rPr>
            <sz val="8"/>
            <rFont val="Tahoma"/>
            <family val="0"/>
          </rPr>
          <t xml:space="preserve">
Lt. Angabe von Frau Notka mit Stand vom 30.12.08</t>
        </r>
      </text>
    </comment>
  </commentList>
</comments>
</file>

<file path=xl/comments4.xml><?xml version="1.0" encoding="utf-8"?>
<comments xmlns="http://schemas.openxmlformats.org/spreadsheetml/2006/main">
  <authors>
    <author>Notka, Heike</author>
  </authors>
  <commentList>
    <comment ref="B42" authorId="0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Durch Rundung  in der Aufsummierung anderer Betrag</t>
        </r>
      </text>
    </comment>
    <comment ref="C42" authorId="0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Durch Rundung in der Auf- summierung anderer Betrag
</t>
        </r>
      </text>
    </comment>
  </commentList>
</comments>
</file>

<file path=xl/comments5.xml><?xml version="1.0" encoding="utf-8"?>
<comments xmlns="http://schemas.openxmlformats.org/spreadsheetml/2006/main">
  <authors>
    <author>Notka, Heike</author>
  </authors>
  <commentList>
    <comment ref="J40" authorId="0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nicht aufgerundet, da sonst im Ergebnis
Rundungsdifferenz </t>
        </r>
      </text>
    </comment>
  </commentList>
</comments>
</file>

<file path=xl/comments7.xml><?xml version="1.0" encoding="utf-8"?>
<comments xmlns="http://schemas.openxmlformats.org/spreadsheetml/2006/main">
  <authors>
    <author>TS6</author>
    <author>Notka, Heike</author>
  </authors>
  <commentList>
    <comment ref="A5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Gr.041
</t>
        </r>
      </text>
    </comment>
    <comment ref="A6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Gr.061
</t>
        </r>
      </text>
    </comment>
    <comment ref="A7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Gr.072</t>
        </r>
      </text>
    </comment>
    <comment ref="A8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10-15</t>
        </r>
      </text>
    </comment>
    <comment ref="A9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092,60-168</t>
        </r>
      </text>
    </comment>
    <comment ref="A10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24,25</t>
        </r>
      </text>
    </comment>
    <comment ref="A11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19</t>
        </r>
      </text>
    </comment>
    <comment ref="A12" authorId="0">
      <text>
        <r>
          <rPr>
            <b/>
            <sz val="8"/>
            <rFont val="Tahoma"/>
            <family val="0"/>
          </rPr>
          <t>TS6:</t>
        </r>
        <r>
          <rPr>
            <sz val="8"/>
            <rFont val="Tahoma"/>
            <family val="0"/>
          </rPr>
          <t xml:space="preserve">
siehe rechts</t>
        </r>
      </text>
    </comment>
    <comment ref="D6" authorId="1">
      <text>
        <r>
          <rPr>
            <b/>
            <sz val="8"/>
            <rFont val="Tahoma"/>
            <family val="0"/>
          </rPr>
          <t>Notka:
Gr.17</t>
        </r>
        <r>
          <rPr>
            <sz val="8"/>
            <rFont val="Tahoma"/>
            <family val="0"/>
          </rPr>
          <t xml:space="preserve">
</t>
        </r>
      </text>
    </comment>
    <comment ref="A20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Gr.4</t>
        </r>
      </text>
    </comment>
    <comment ref="A22" authorId="1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Gr.70/71</t>
        </r>
      </text>
    </comment>
    <comment ref="A23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Gr.83</t>
        </r>
      </text>
    </comment>
    <comment ref="A24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Gr.73-79</t>
        </r>
      </text>
    </comment>
    <comment ref="A25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Gr.80,87</t>
        </r>
      </text>
    </comment>
    <comment ref="A26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Gr.86</t>
        </r>
      </text>
    </comment>
    <comment ref="A27" authorId="1">
      <text>
        <r>
          <rPr>
            <b/>
            <sz val="8"/>
            <rFont val="Tahoma"/>
            <family val="0"/>
          </rPr>
          <t>Notka</t>
        </r>
        <r>
          <rPr>
            <sz val="8"/>
            <rFont val="Tahoma"/>
            <family val="0"/>
          </rPr>
          <t xml:space="preserve">
Gr.892,893</t>
        </r>
      </text>
    </comment>
    <comment ref="A21" authorId="1">
      <text>
        <r>
          <rPr>
            <b/>
            <sz val="8"/>
            <rFont val="Tahoma"/>
            <family val="0"/>
          </rPr>
          <t>Notka, Heike:</t>
        </r>
        <r>
          <rPr>
            <sz val="8"/>
            <rFont val="Tahoma"/>
            <family val="0"/>
          </rPr>
          <t xml:space="preserve">
Gr.50-68</t>
        </r>
      </text>
    </comment>
  </commentList>
</comments>
</file>

<file path=xl/sharedStrings.xml><?xml version="1.0" encoding="utf-8"?>
<sst xmlns="http://schemas.openxmlformats.org/spreadsheetml/2006/main" count="439" uniqueCount="226">
  <si>
    <t xml:space="preserve"> </t>
  </si>
  <si>
    <t>(Ergebnis)</t>
  </si>
  <si>
    <t>(Planung)</t>
  </si>
  <si>
    <t>Ausgabe-</t>
  </si>
  <si>
    <t xml:space="preserve"> haushaltes zeigt folgende Entwicklung:</t>
  </si>
  <si>
    <t xml:space="preserve"> Einzelplan 0</t>
  </si>
  <si>
    <t xml:space="preserve"> Einzelplan 1</t>
  </si>
  <si>
    <t xml:space="preserve"> Einzelplan 2</t>
  </si>
  <si>
    <t xml:space="preserve"> Einzelplan 3</t>
  </si>
  <si>
    <t xml:space="preserve"> Einzelplan 4</t>
  </si>
  <si>
    <t xml:space="preserve"> Einzelplan 5</t>
  </si>
  <si>
    <t xml:space="preserve"> Einzelplan 6</t>
  </si>
  <si>
    <t xml:space="preserve"> Einzelplan 7</t>
  </si>
  <si>
    <t xml:space="preserve"> Einzelplan 8</t>
  </si>
  <si>
    <t xml:space="preserve"> Einzelplan 9</t>
  </si>
  <si>
    <t xml:space="preserve"> FEHLBEDARF</t>
  </si>
  <si>
    <t>Die Einnahme- und Ausgabearten (nach Gruppierungen) haben sich wie folgt entwickelt:</t>
  </si>
  <si>
    <t>Einnahmen im Verwaltungshaushalt</t>
  </si>
  <si>
    <t>Ergebnis</t>
  </si>
  <si>
    <t>Plan</t>
  </si>
  <si>
    <t>Gruppe</t>
  </si>
  <si>
    <t>Bezeichnung</t>
  </si>
  <si>
    <t>02, 03</t>
  </si>
  <si>
    <t>Steuereinnahmen</t>
  </si>
  <si>
    <t>041</t>
  </si>
  <si>
    <t>Schlüsselzuweisungen</t>
  </si>
  <si>
    <t>061</t>
  </si>
  <si>
    <t>Sonst. Landeszuweisungen</t>
  </si>
  <si>
    <t>072</t>
  </si>
  <si>
    <t>Kreisumlage</t>
  </si>
  <si>
    <t>10-12</t>
  </si>
  <si>
    <t>Gebühren, Entgelte</t>
  </si>
  <si>
    <t>13-15</t>
  </si>
  <si>
    <t>Verkaufserlöse, Mieten, Verwaltungseinnahmen</t>
  </si>
  <si>
    <t>16</t>
  </si>
  <si>
    <t>Erstattungen. (v. Land u.a.)</t>
  </si>
  <si>
    <t>17</t>
  </si>
  <si>
    <t>Zuweisungen f. lfd.  Zwecke</t>
  </si>
  <si>
    <t>20</t>
  </si>
  <si>
    <t>Zinseinnahmen</t>
  </si>
  <si>
    <t>21, 22</t>
  </si>
  <si>
    <t>Konzessionsabgabe, Gewinnanteil</t>
  </si>
  <si>
    <t>23</t>
  </si>
  <si>
    <t>Schuldendiensthilfen</t>
  </si>
  <si>
    <t>24, 25</t>
  </si>
  <si>
    <t>Ersatz von Sozialleistungen</t>
  </si>
  <si>
    <t>26</t>
  </si>
  <si>
    <t>Buß-/Zwangsgelder u.ä.</t>
  </si>
  <si>
    <t>27</t>
  </si>
  <si>
    <t>Kalkulatorische Einnahmen</t>
  </si>
  <si>
    <t>ZWISCHENSUMME</t>
  </si>
  <si>
    <t>Zuführung vom Vermögens-</t>
  </si>
  <si>
    <t>haushalt</t>
  </si>
  <si>
    <t>Übertragungs-Buchungen</t>
  </si>
  <si>
    <t>0 - 2</t>
  </si>
  <si>
    <t>Einnahmen Verw.-Haushalt</t>
  </si>
  <si>
    <t>Ausgaben im Verwaltungshaushalt</t>
  </si>
  <si>
    <t>Personalausgaben</t>
  </si>
  <si>
    <t>50/51</t>
  </si>
  <si>
    <t>Unterhaltung Grundstücke und bauliche Anlagen</t>
  </si>
  <si>
    <t>52</t>
  </si>
  <si>
    <t>Geräte u. Ausstattattungs- gegenstände</t>
  </si>
  <si>
    <t>53</t>
  </si>
  <si>
    <t>Mieten, Leasingkosten</t>
  </si>
  <si>
    <t>54</t>
  </si>
  <si>
    <t>Bewirtschaftung der Grundstücke und baulichen Anlagen</t>
  </si>
  <si>
    <t>55</t>
  </si>
  <si>
    <t>Haltung von Fahrzeugen</t>
  </si>
  <si>
    <t>56-63</t>
  </si>
  <si>
    <t>Sonstige Verwaltungs- und Betriebsausgaben</t>
  </si>
  <si>
    <t>64-66</t>
  </si>
  <si>
    <t>Geschäftsausgaben</t>
  </si>
  <si>
    <t>Summe Gruppen 50 bis 66</t>
  </si>
  <si>
    <t>67</t>
  </si>
  <si>
    <t>Erstattungen</t>
  </si>
  <si>
    <t>68</t>
  </si>
  <si>
    <t>Kalkulatorische Kosten</t>
  </si>
  <si>
    <t>Summe Gruppen 5 und 6</t>
  </si>
  <si>
    <t>70/71</t>
  </si>
  <si>
    <t>Zuweisungen und Zuschüsse für laufende Zwecke</t>
  </si>
  <si>
    <t>72</t>
  </si>
  <si>
    <t>73-79</t>
  </si>
  <si>
    <t>Leistungen der Sozial- und Jugendhilfe</t>
  </si>
  <si>
    <t>Zinsausgaben</t>
  </si>
  <si>
    <t>82, 84, 85</t>
  </si>
  <si>
    <t>Allgemeine Zuweisungen, Deckungsreserve</t>
  </si>
  <si>
    <t>83</t>
  </si>
  <si>
    <t>Allgemeine Umlagen</t>
  </si>
  <si>
    <t>Veränderung zum Vorjahr</t>
  </si>
  <si>
    <t>86</t>
  </si>
  <si>
    <t>Zuführungen an den Vermögenshaushalt</t>
  </si>
  <si>
    <t>Deckung von Fehlbeträgen</t>
  </si>
  <si>
    <t>4 - 8</t>
  </si>
  <si>
    <t>Ausgaben Verw.-Haushalt</t>
  </si>
  <si>
    <t>Fehlbetrag Verw.-Haushalt</t>
  </si>
  <si>
    <t>Einnahmen im Vermögenshaushalt</t>
  </si>
  <si>
    <t>30</t>
  </si>
  <si>
    <t>Zuführung v. Verw.-Haushalt</t>
  </si>
  <si>
    <t>31</t>
  </si>
  <si>
    <t>Rücklagenentnahme</t>
  </si>
  <si>
    <t>32</t>
  </si>
  <si>
    <t>Darlehensrückflüsse</t>
  </si>
  <si>
    <t>33/34</t>
  </si>
  <si>
    <t>Veräußerung von Vermögen</t>
  </si>
  <si>
    <t>36</t>
  </si>
  <si>
    <t>Investitions-Zuweisungen</t>
  </si>
  <si>
    <t>37</t>
  </si>
  <si>
    <t>Darlehensaufnahmen</t>
  </si>
  <si>
    <t>Einnahmen Verm.-Haushalt</t>
  </si>
  <si>
    <t>90</t>
  </si>
  <si>
    <t>Rückzuführung zum Verw.-Haushalt</t>
  </si>
  <si>
    <t>91</t>
  </si>
  <si>
    <t>Zuführung an Rücklagen</t>
  </si>
  <si>
    <t>92</t>
  </si>
  <si>
    <t>Gewährung von Darlehen</t>
  </si>
  <si>
    <t>Vermögenserwerb</t>
  </si>
  <si>
    <t>94-96</t>
  </si>
  <si>
    <t>Baumaßnahmen</t>
  </si>
  <si>
    <t>97</t>
  </si>
  <si>
    <t>Darlehenstilgung</t>
  </si>
  <si>
    <t>98</t>
  </si>
  <si>
    <t>Zuweisungen und Beiträge für Investitionen</t>
  </si>
  <si>
    <t>99</t>
  </si>
  <si>
    <t>Ausgaben Verm.-Haushalt</t>
  </si>
  <si>
    <t>Sollfehlbetrag</t>
  </si>
  <si>
    <t xml:space="preserve">Entsprechend § 3 Nr. 4 GemHVO ist nachstehend dargestellt, in </t>
  </si>
  <si>
    <t>mehr</t>
  </si>
  <si>
    <t>weniger</t>
  </si>
  <si>
    <t>Verwaltungshaushalt</t>
  </si>
  <si>
    <t xml:space="preserve">Haushalt </t>
  </si>
  <si>
    <t>F-Plan</t>
  </si>
  <si>
    <t>Differenz</t>
  </si>
  <si>
    <t>Einnahmen</t>
  </si>
  <si>
    <t>Allgemeine Zuweisungen vom Land (Gr. 041, 061)</t>
  </si>
  <si>
    <t>Kreisumlage (Gr. 072)</t>
  </si>
  <si>
    <t>Gebühren, Entgelte (Gr. 10-12)</t>
  </si>
  <si>
    <t>Mieten, Verwaltungseinnahmen (Gr. 13-15)</t>
  </si>
  <si>
    <t>Erstattungen, Zuweisungen vom Land (Gr. 161/171)</t>
  </si>
  <si>
    <t>Erstattungen, Zuweisungen von Gemeinden,</t>
  </si>
  <si>
    <t>Gemeindeverbänden (Gr. 162, 163, 172, 173)</t>
  </si>
  <si>
    <t>Erstattungen, Zuweisungen von übrigen Bereichen</t>
  </si>
  <si>
    <t>Zwischensumme</t>
  </si>
  <si>
    <t xml:space="preserve">Summe Abweichungen Einnahmen </t>
  </si>
  <si>
    <t>Ausgaben</t>
  </si>
  <si>
    <t>Personalausgaben (Gr. 4)</t>
  </si>
  <si>
    <t>Sächlicher Verwaltungs- und Betriebsaufwand</t>
  </si>
  <si>
    <t>(Gr. 5 und 6)</t>
  </si>
  <si>
    <t>Zuschüsse und Zuweisungen für laufende Zwecke,</t>
  </si>
  <si>
    <t>Schuldendiensthilfen (Gr. 71-72)</t>
  </si>
  <si>
    <t>Leistungen der Sozial- und Jugendhilfe (Gr. 73-79)</t>
  </si>
  <si>
    <t>Allgemeine Zuweisungen und Umlagen, übrige</t>
  </si>
  <si>
    <t>Finanzaussgaben (Gr. 82-85)</t>
  </si>
  <si>
    <t>Zuführungen zum Vermögenshaushalt (Gr. 86)</t>
  </si>
  <si>
    <t>Summe Abweichungen Ausgaben</t>
  </si>
  <si>
    <t xml:space="preserve">Abweichung Fehlbedarf  </t>
  </si>
  <si>
    <t>Vermögenshaushalt</t>
  </si>
  <si>
    <t>Zuführungen vom Verwaltungshaushalt (Gr. 30)</t>
  </si>
  <si>
    <t xml:space="preserve">Investitionszuweisungen ( Gr. 36) </t>
  </si>
  <si>
    <t>Darlehensaufnahmen (Gr. 37)</t>
  </si>
  <si>
    <t>Gewährung von Darlehen, Investitionszuweisungen,</t>
  </si>
  <si>
    <t>-beiträge (Gr. 92, 98)</t>
  </si>
  <si>
    <t>Vermögenserwerb (Gr. 93)</t>
  </si>
  <si>
    <t>Baumaßnahme (Gr. 94-96)</t>
  </si>
  <si>
    <t>Darlehenstilgung (Gr. 97)</t>
  </si>
  <si>
    <t>%</t>
  </si>
  <si>
    <t xml:space="preserve">  </t>
  </si>
  <si>
    <t>Sonst. Landeszuw.</t>
  </si>
  <si>
    <t>Erstatt. (v. Land u.a.)</t>
  </si>
  <si>
    <t>Ersatz v. Sozialleistung.</t>
  </si>
  <si>
    <t>Sonstiges</t>
  </si>
  <si>
    <t>Sächl. Verwaltungs- und Betriebsaufwand</t>
  </si>
  <si>
    <t>Zuweis. u. Zuschüsse f. lfd. Zwecke</t>
  </si>
  <si>
    <t>Leistungen d. Sozial- u. Jugendhilfe</t>
  </si>
  <si>
    <t>Zuf. v. Verw.-Haushalt</t>
  </si>
  <si>
    <t>Veräußerung v. Vermögen</t>
  </si>
  <si>
    <t>Invest.-Zuweisungen</t>
  </si>
  <si>
    <t>Zuf. an Rücklagen</t>
  </si>
  <si>
    <t>Jagdsteuer</t>
  </si>
  <si>
    <t>Schuldendiensthilfen, Allgemeine Umlagen, Deckungsreseve</t>
  </si>
  <si>
    <t>Kassenkredite</t>
  </si>
  <si>
    <t>Datum</t>
  </si>
  <si>
    <t>Betrag</t>
  </si>
  <si>
    <t>Höchstbetrag</t>
  </si>
  <si>
    <t>Zuführung vom Vermögenshaushalt</t>
  </si>
  <si>
    <t>sonstige Finanzeinnahmen (Gr. 2)</t>
  </si>
  <si>
    <t>Erstattungen, Zuweisungen vom Bund (Gr. 160/170)</t>
  </si>
  <si>
    <t>allg. Rücklage</t>
  </si>
  <si>
    <t>Belastungen aus kreditähnlichen Rechtsgeschäften</t>
  </si>
  <si>
    <t xml:space="preserve">Ausgaben im Hj. </t>
  </si>
  <si>
    <t>Gesamt-</t>
  </si>
  <si>
    <t>aufwand</t>
  </si>
  <si>
    <t>incl. Vorjahre</t>
  </si>
  <si>
    <t>in TEuro</t>
  </si>
  <si>
    <t>892/893</t>
  </si>
  <si>
    <t>Rückzuführung zum Verwaltungshaushalt (Gr. 90)</t>
  </si>
  <si>
    <t>Zuführung an Rücklagen (Gr. 91)</t>
  </si>
  <si>
    <t>80/87</t>
  </si>
  <si>
    <t xml:space="preserve"> Den Zuschussbedarf (-) bzw. Überschuss in den Einzelplänen des Verwaltungs-</t>
  </si>
  <si>
    <t>in T€</t>
  </si>
  <si>
    <t>(Gr. 164-168, 169, 174-178), Innere Verrechnungen</t>
  </si>
  <si>
    <t>Zinsausgaben (Gr. 80,87)</t>
  </si>
  <si>
    <t>bereinigt:</t>
  </si>
  <si>
    <t>A  =  Verwaltungshaushalt</t>
  </si>
  <si>
    <t>B  =  Vermögenshaushalt (ohne Umschuldung)</t>
  </si>
  <si>
    <t>volumen:</t>
  </si>
  <si>
    <t>39</t>
  </si>
  <si>
    <t>Pauschale Restebereinigung</t>
  </si>
  <si>
    <t>Darlehensrückflüsse, Vermögensveräußerungen (Gr. 32,33,34)</t>
  </si>
  <si>
    <t>19</t>
  </si>
  <si>
    <t>Aufgabenbez. Leistungsb.</t>
  </si>
  <si>
    <t>Steuereinnahmen (Gr. 02)</t>
  </si>
  <si>
    <t>Aufgabenbezogene Leistungsbeteiligung (Gr.19)</t>
  </si>
  <si>
    <t>Rücklagenentnahme (Gr.31)</t>
  </si>
  <si>
    <t>Aufgabenbezogene Leistungbeteiligung</t>
  </si>
  <si>
    <t>Innere Verrechnungen</t>
  </si>
  <si>
    <t>092</t>
  </si>
  <si>
    <t>Leist. d. Landes f. SGB II</t>
  </si>
  <si>
    <t>Leist. d. Landes für SGB II (Gr. 092)</t>
  </si>
  <si>
    <t>Deckung von Fehlbeträgen (Gr. 893)</t>
  </si>
  <si>
    <t>Ergenis</t>
  </si>
  <si>
    <t>35</t>
  </si>
  <si>
    <t>Beiträge u.ä. Entgelte</t>
  </si>
  <si>
    <t>Ausgaben im Vermögenshaushalt</t>
  </si>
  <si>
    <t>welchen Bereichen der Haushaltsplan 2010 vom  Finanzplan  für 2010</t>
  </si>
  <si>
    <t>aus dem Jahr 2009 abweicht:</t>
  </si>
  <si>
    <t>2010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</si>
</sst>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 \+\ 0.0"/>
    <numFmt numFmtId="174" formatCode="\+\ \ 0.0"/>
    <numFmt numFmtId="175" formatCode="\-\ \ 0.0"/>
    <numFmt numFmtId="176" formatCode="\+\ #,##0"/>
    <numFmt numFmtId="177" formatCode="\-\ #,##0"/>
    <numFmt numFmtId="178" formatCode="#,##0.0"/>
    <numFmt numFmtId="179" formatCode="#,"/>
    <numFmt numFmtId="180" formatCode="#,##0,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\ "/>
    <numFmt numFmtId="187" formatCode="\+\ #,##0,"/>
    <numFmt numFmtId="188" formatCode="\-\ #,##0,"/>
    <numFmt numFmtId="189" formatCode="\ #,##0,"/>
    <numFmt numFmtId="190" formatCode="\ General"/>
    <numFmt numFmtId="191" formatCode="#,##0.000"/>
    <numFmt numFmtId="192" formatCode="#,##0.0000"/>
    <numFmt numFmtId="193" formatCode="mmm\ yyyy"/>
    <numFmt numFmtId="194" formatCode="#,###,###,###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_-* #,##0.00\ [$€-1]_-;\-* #,##0.00\ [$€-1]_-;_-* &quot;-&quot;??\ [$€-1]_-"/>
    <numFmt numFmtId="199" formatCode="0####"/>
    <numFmt numFmtId="200" formatCode="#,##0;[Red]\-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.8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9"/>
      <name val="Arial"/>
      <family val="0"/>
    </font>
    <font>
      <b/>
      <sz val="9.25"/>
      <name val="Arial"/>
      <family val="0"/>
    </font>
    <font>
      <b/>
      <sz val="13.5"/>
      <name val="Arial"/>
      <family val="2"/>
    </font>
    <font>
      <b/>
      <sz val="19.75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sz val="11"/>
      <name val="Tahoma"/>
      <family val="2"/>
    </font>
    <font>
      <sz val="10"/>
      <color indexed="48"/>
      <name val="Arial"/>
      <family val="2"/>
    </font>
    <font>
      <b/>
      <sz val="9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23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11" fillId="2" borderId="1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8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80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/>
    </xf>
    <xf numFmtId="49" fontId="12" fillId="2" borderId="3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180" fontId="8" fillId="0" borderId="3" xfId="0" applyNumberFormat="1" applyFont="1" applyFill="1" applyBorder="1" applyAlignment="1">
      <alignment/>
    </xf>
    <xf numFmtId="180" fontId="8" fillId="2" borderId="3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49" fontId="7" fillId="2" borderId="3" xfId="0" applyNumberFormat="1" applyFont="1" applyFill="1" applyBorder="1" applyAlignment="1">
      <alignment horizontal="centerContinuous" wrapText="1"/>
    </xf>
    <xf numFmtId="178" fontId="7" fillId="2" borderId="3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8" fillId="0" borderId="3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left"/>
    </xf>
    <xf numFmtId="180" fontId="7" fillId="2" borderId="0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8" fillId="0" borderId="2" xfId="0" applyNumberFormat="1" applyFont="1" applyBorder="1" applyAlignment="1">
      <alignment/>
    </xf>
    <xf numFmtId="180" fontId="8" fillId="0" borderId="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15" fillId="0" borderId="1" xfId="0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186" fontId="14" fillId="0" borderId="3" xfId="0" applyNumberFormat="1" applyFont="1" applyBorder="1" applyAlignment="1">
      <alignment/>
    </xf>
    <xf numFmtId="186" fontId="14" fillId="0" borderId="2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4" xfId="0" applyFont="1" applyBorder="1" applyAlignment="1">
      <alignment/>
    </xf>
    <xf numFmtId="186" fontId="14" fillId="0" borderId="5" xfId="0" applyNumberFormat="1" applyFont="1" applyBorder="1" applyAlignment="1">
      <alignment/>
    </xf>
    <xf numFmtId="186" fontId="14" fillId="0" borderId="6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7" xfId="0" applyFont="1" applyBorder="1" applyAlignment="1">
      <alignment/>
    </xf>
    <xf numFmtId="49" fontId="15" fillId="0" borderId="1" xfId="0" applyNumberFormat="1" applyFont="1" applyBorder="1" applyAlignment="1">
      <alignment/>
    </xf>
    <xf numFmtId="49" fontId="7" fillId="2" borderId="1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7" fillId="2" borderId="3" xfId="0" applyNumberFormat="1" applyFont="1" applyFill="1" applyBorder="1" applyAlignment="1">
      <alignment wrapText="1"/>
    </xf>
    <xf numFmtId="180" fontId="8" fillId="2" borderId="2" xfId="0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80" fontId="8" fillId="2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4" fillId="0" borderId="1" xfId="0" applyFont="1" applyBorder="1" applyAlignment="1">
      <alignment/>
    </xf>
    <xf numFmtId="49" fontId="14" fillId="0" borderId="3" xfId="0" applyNumberFormat="1" applyFont="1" applyBorder="1" applyAlignment="1">
      <alignment horizontal="center"/>
    </xf>
    <xf numFmtId="0" fontId="25" fillId="0" borderId="1" xfId="0" applyFont="1" applyBorder="1" applyAlignment="1">
      <alignment/>
    </xf>
    <xf numFmtId="186" fontId="9" fillId="0" borderId="3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3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Continuous" wrapText="1"/>
    </xf>
    <xf numFmtId="49" fontId="6" fillId="2" borderId="1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180" fontId="0" fillId="0" borderId="2" xfId="0" applyNumberFormat="1" applyFont="1" applyBorder="1" applyAlignment="1">
      <alignment/>
    </xf>
    <xf numFmtId="180" fontId="7" fillId="2" borderId="2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49" fontId="0" fillId="2" borderId="1" xfId="0" applyNumberFormat="1" applyFont="1" applyFill="1" applyBorder="1" applyAlignment="1">
      <alignment/>
    </xf>
    <xf numFmtId="180" fontId="7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80" fontId="7" fillId="3" borderId="0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80" fontId="8" fillId="0" borderId="2" xfId="0" applyNumberFormat="1" applyFont="1" applyBorder="1" applyAlignment="1">
      <alignment/>
    </xf>
    <xf numFmtId="0" fontId="28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2" borderId="3" xfId="0" applyFont="1" applyFill="1" applyBorder="1" applyAlignment="1">
      <alignment/>
    </xf>
    <xf numFmtId="3" fontId="8" fillId="0" borderId="3" xfId="0" applyNumberFormat="1" applyFont="1" applyBorder="1" applyAlignment="1">
      <alignment/>
    </xf>
    <xf numFmtId="1" fontId="8" fillId="0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8" fillId="2" borderId="2" xfId="0" applyNumberFormat="1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14" fillId="2" borderId="3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Fill="1" applyAlignment="1">
      <alignment/>
    </xf>
    <xf numFmtId="3" fontId="35" fillId="0" borderId="0" xfId="19" applyNumberFormat="1" applyFont="1" applyAlignment="1">
      <alignment/>
    </xf>
    <xf numFmtId="186" fontId="37" fillId="0" borderId="2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186" fontId="37" fillId="0" borderId="3" xfId="0" applyNumberFormat="1" applyFont="1" applyBorder="1" applyAlignment="1">
      <alignment/>
    </xf>
    <xf numFmtId="3" fontId="37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3" xfId="0" applyFont="1" applyBorder="1" applyAlignment="1">
      <alignment/>
    </xf>
    <xf numFmtId="186" fontId="37" fillId="0" borderId="5" xfId="0" applyNumberFormat="1" applyFont="1" applyBorder="1" applyAlignment="1">
      <alignment/>
    </xf>
    <xf numFmtId="186" fontId="37" fillId="0" borderId="6" xfId="0" applyNumberFormat="1" applyFont="1" applyBorder="1" applyAlignment="1">
      <alignment/>
    </xf>
    <xf numFmtId="186" fontId="37" fillId="0" borderId="0" xfId="0" applyNumberFormat="1" applyFont="1" applyAlignment="1">
      <alignment/>
    </xf>
    <xf numFmtId="186" fontId="37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9" fillId="2" borderId="3" xfId="0" applyFont="1" applyFill="1" applyBorder="1" applyAlignment="1">
      <alignment/>
    </xf>
    <xf numFmtId="3" fontId="8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0" fillId="0" borderId="0" xfId="19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14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86" fontId="40" fillId="0" borderId="3" xfId="0" applyNumberFormat="1" applyFont="1" applyBorder="1" applyAlignment="1">
      <alignment/>
    </xf>
    <xf numFmtId="186" fontId="40" fillId="0" borderId="2" xfId="0" applyNumberFormat="1" applyFont="1" applyBorder="1" applyAlignment="1">
      <alignment/>
    </xf>
    <xf numFmtId="186" fontId="9" fillId="0" borderId="1" xfId="0" applyNumberFormat="1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186" fontId="9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7" fillId="2" borderId="2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49" fontId="24" fillId="2" borderId="7" xfId="0" applyNumberFormat="1" applyFont="1" applyFill="1" applyBorder="1" applyAlignment="1">
      <alignment horizontal="center"/>
    </xf>
    <xf numFmtId="49" fontId="24" fillId="2" borderId="9" xfId="0" applyNumberFormat="1" applyFont="1" applyFill="1" applyBorder="1" applyAlignment="1">
      <alignment horizontal="center"/>
    </xf>
    <xf numFmtId="49" fontId="24" fillId="2" borderId="8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49" fontId="24" fillId="2" borderId="11" xfId="0" applyNumberFormat="1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Stand Kassenkredite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"/>
          <c:y val="0.1015"/>
          <c:w val="0.628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Stand 31.12.09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KK!$D$7</c:f>
              <c:numCache>
                <c:ptCount val="1"/>
                <c:pt idx="0">
                  <c:v>50.5</c:v>
                </c:pt>
              </c:numCache>
            </c:numRef>
          </c:val>
        </c:ser>
        <c:ser>
          <c:idx val="1"/>
          <c:order val="1"/>
          <c:tx>
            <c:v>genehmigter Höchstbetrag</c:v>
          </c:tx>
          <c:spPr>
            <a:solidFill>
              <a:srgbClr val="42424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KK!$E$3</c:f>
              <c:numCache>
                <c:ptCount val="1"/>
                <c:pt idx="0">
                  <c:v>65</c:v>
                </c:pt>
              </c:numCache>
            </c:numRef>
          </c:val>
        </c:ser>
        <c:axId val="52532432"/>
        <c:axId val="3029841"/>
      </c:barChart>
      <c:catAx>
        <c:axId val="52532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841"/>
        <c:crosses val="autoZero"/>
        <c:auto val="1"/>
        <c:lblOffset val="100"/>
        <c:noMultiLvlLbl val="0"/>
      </c:catAx>
      <c:valAx>
        <c:axId val="302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Mio.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3243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25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Ausgaben des Verwaltungshaushaltes 1999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205"/>
          <c:y val="0.8475"/>
          <c:w val="0.3585"/>
          <c:h val="0.0125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Einnahmen des Verwaltungshaushaltes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pattFill prst="solidDmnd">
                <a:fgClr>
                  <a:srgbClr val="424242"/>
                </a:fgClr>
                <a:bgClr>
                  <a:srgbClr val="C0C0C0"/>
                </a:bgClr>
              </a:patt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gradFill rotWithShape="1">
                <a:gsLst>
                  <a:gs pos="0">
                    <a:srgbClr val="424242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5"/>
            <c:spPr>
              <a:pattFill prst="wdUpDi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Schlüssel-
zuweisungen
10,56%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Sonst. Landeszuw.
2,13%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Kreisumlage
26,77%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Gebühren, Entgelte
3,61%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Erstatt. (v. Land u.a.)
17,43%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Ersatz v. Sozialleistung.
3,62%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Aufgaben-
bezogene
 Leistung
beteiligung
27,13%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Sonstiges
8,74%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Werte09!$A$5:$A$12</c:f>
              <c:strCache>
                <c:ptCount val="8"/>
                <c:pt idx="0">
                  <c:v>Schlüsselzuweisungen</c:v>
                </c:pt>
                <c:pt idx="1">
                  <c:v>Sonst. Landeszuw.</c:v>
                </c:pt>
                <c:pt idx="2">
                  <c:v>Kreisumlage</c:v>
                </c:pt>
                <c:pt idx="3">
                  <c:v>Gebühren, Entgelte</c:v>
                </c:pt>
                <c:pt idx="4">
                  <c:v>Erstatt. (v. Land u.a.)</c:v>
                </c:pt>
                <c:pt idx="5">
                  <c:v>Ersatz v. Sozialleistung.</c:v>
                </c:pt>
                <c:pt idx="6">
                  <c:v>Aufgabenbezogene Leistungbeteiligung</c:v>
                </c:pt>
                <c:pt idx="7">
                  <c:v>Sonstiges</c:v>
                </c:pt>
              </c:strCache>
            </c:strRef>
          </c:cat>
          <c:val>
            <c:numRef>
              <c:f>Werte09!$B$5:$B$12</c:f>
              <c:numCache>
                <c:ptCount val="8"/>
                <c:pt idx="0">
                  <c:v>19924700</c:v>
                </c:pt>
                <c:pt idx="1">
                  <c:v>4020500</c:v>
                </c:pt>
                <c:pt idx="2">
                  <c:v>50482500</c:v>
                </c:pt>
                <c:pt idx="3">
                  <c:v>6817000</c:v>
                </c:pt>
                <c:pt idx="4">
                  <c:v>32875500</c:v>
                </c:pt>
                <c:pt idx="5">
                  <c:v>6835000</c:v>
                </c:pt>
                <c:pt idx="6">
                  <c:v>51161000</c:v>
                </c:pt>
                <c:pt idx="7">
                  <c:v>16492100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Ausgaben des Verwaltungshaushaltes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24242"/>
              </a:solidFill>
            </c:spPr>
          </c:dPt>
          <c:dPt>
            <c:idx val="1"/>
            <c:spPr>
              <a:pattFill prst="solidDmn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pattFill prst="pct4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gradFill rotWithShape="1">
                <a:gsLst>
                  <a:gs pos="0">
                    <a:srgbClr val="424242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pattFill prst="dash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Personal-ausgaben
11,72%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Sächl. Verwaltungs- und Betriebs-aufwand
15,41%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Zuweisungen u.Zuschüsse f. lfd. Zwecke
1,58%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Schulden-diensthilfen, Allgemeine Umlagen, Deckungs-
reserve
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Leistungen d. Sozial- u. Jugendhilfe
49,7%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Zinsausgaben
1,08%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Zuführungen an den Vermögens-haushalt
0,24%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Deckung von Fehlbeträgen
20,26%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Werte09!$B$20:$B$27</c:f>
              <c:numCache>
                <c:ptCount val="8"/>
                <c:pt idx="0">
                  <c:v>29888700</c:v>
                </c:pt>
                <c:pt idx="1">
                  <c:v>39308800</c:v>
                </c:pt>
                <c:pt idx="2">
                  <c:v>4027400</c:v>
                </c:pt>
                <c:pt idx="3">
                  <c:v>493400</c:v>
                </c:pt>
                <c:pt idx="4">
                  <c:v>126263400</c:v>
                </c:pt>
                <c:pt idx="5">
                  <c:v>2766000</c:v>
                </c:pt>
                <c:pt idx="6">
                  <c:v>602800</c:v>
                </c:pt>
                <c:pt idx="7">
                  <c:v>51670800</c:v>
                </c:pt>
              </c:numCache>
            </c:numRef>
          </c:val>
        </c:ser>
        <c:ser>
          <c:idx val="1"/>
          <c:order val="1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Werte09!$C$20:$C$27</c:f>
              <c:numCache>
                <c:ptCount val="8"/>
                <c:pt idx="0">
                  <c:v>11.720079852153527</c:v>
                </c:pt>
                <c:pt idx="1">
                  <c:v>15.413928169921492</c:v>
                </c:pt>
                <c:pt idx="2">
                  <c:v>1.5792406359782496</c:v>
                </c:pt>
                <c:pt idx="3">
                  <c:v>0.19347403530607052</c:v>
                </c:pt>
                <c:pt idx="4">
                  <c:v>49.51092320523815</c:v>
                </c:pt>
                <c:pt idx="5">
                  <c:v>1.0846152850761877</c:v>
                </c:pt>
                <c:pt idx="6">
                  <c:v>0.23637241281414534</c:v>
                </c:pt>
                <c:pt idx="7">
                  <c:v>20.261366403512177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Einnahmen des Vermögenshaushaltes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Zuführung vom Verwaltungsh.
5,08%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Rücklagenent-
nahme 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Darlehens-
rückflüsse
6,95%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Veräußerung von Vermögen
0,08%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Investitions-
zuweisungen
24,70%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Darlehensauf-nahmen 
63,19%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Werte09!$B$36:$B$41</c:f>
              <c:numCache>
                <c:ptCount val="6"/>
                <c:pt idx="0">
                  <c:v>602800</c:v>
                </c:pt>
                <c:pt idx="1">
                  <c:v>0</c:v>
                </c:pt>
                <c:pt idx="2">
                  <c:v>823600</c:v>
                </c:pt>
                <c:pt idx="3">
                  <c:v>9800</c:v>
                </c:pt>
                <c:pt idx="4">
                  <c:v>2928800</c:v>
                </c:pt>
                <c:pt idx="5">
                  <c:v>7493500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Werte09!$C$36:$C$41</c:f>
              <c:numCache>
                <c:ptCount val="6"/>
                <c:pt idx="0">
                  <c:v>5.0832736012143185</c:v>
                </c:pt>
                <c:pt idx="1">
                  <c:v>0</c:v>
                </c:pt>
                <c:pt idx="2">
                  <c:v>6.945229160517772</c:v>
                </c:pt>
                <c:pt idx="3">
                  <c:v>0.08264114348357718</c:v>
                </c:pt>
                <c:pt idx="4">
                  <c:v>24.697896023949067</c:v>
                </c:pt>
                <c:pt idx="5">
                  <c:v>63.19096007083527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Ausgaben des Vermögenshaushaltes 2010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424242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3"/>
            <c:spPr>
              <a:pattFill prst="sphere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pct2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solidFill>
                <a:srgbClr val="424242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Zuführung an
Rücklagen
0,41%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Darlehens-
gewährung
3,15%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Vermögens-
erwerb
19,35%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Baumaß-
nahmen
46,15%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Darlehens-tilgung
5,08%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900" b="0" i="0" u="none" baseline="0">
                        <a:latin typeface="Arial"/>
                        <a:ea typeface="Arial"/>
                        <a:cs typeface="Arial"/>
                      </a:rPr>
                      <a:t>Zuweisungen und Beiträge für Investitionen
25,85%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Werte09!$A$47:$A$53</c:f>
              <c:strCache>
                <c:ptCount val="7"/>
                <c:pt idx="0">
                  <c:v>Rückzuführung zum Verw.-Haushalt</c:v>
                </c:pt>
                <c:pt idx="1">
                  <c:v>Zuf. an Rücklagen</c:v>
                </c:pt>
                <c:pt idx="2">
                  <c:v>Gewährung von Darlehen</c:v>
                </c:pt>
                <c:pt idx="3">
                  <c:v>Vermögenserwerb</c:v>
                </c:pt>
                <c:pt idx="4">
                  <c:v>Baumaßnahmen</c:v>
                </c:pt>
                <c:pt idx="5">
                  <c:v>Darlehenstilgung</c:v>
                </c:pt>
                <c:pt idx="6">
                  <c:v>Zuweisungen und Beiträge für Investitionen</c:v>
                </c:pt>
              </c:strCache>
            </c:strRef>
          </c:cat>
          <c:val>
            <c:numRef>
              <c:f>Werte09!$B$47:$B$53</c:f>
              <c:numCache>
                <c:ptCount val="7"/>
                <c:pt idx="1">
                  <c:v>49000</c:v>
                </c:pt>
                <c:pt idx="2">
                  <c:v>373300</c:v>
                </c:pt>
                <c:pt idx="3">
                  <c:v>2294700</c:v>
                </c:pt>
                <c:pt idx="4">
                  <c:v>5473000</c:v>
                </c:pt>
                <c:pt idx="5">
                  <c:v>602800</c:v>
                </c:pt>
                <c:pt idx="6">
                  <c:v>3065700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23</xdr:row>
      <xdr:rowOff>47625</xdr:rowOff>
    </xdr:from>
    <xdr:to>
      <xdr:col>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95275" y="3790950"/>
        <a:ext cx="4591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19050</xdr:rowOff>
    </xdr:from>
    <xdr:to>
      <xdr:col>5</xdr:col>
      <xdr:colOff>76200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8896350" y="6981825"/>
        <a:ext cx="76200" cy="14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7</xdr:col>
      <xdr:colOff>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0" y="4400550"/>
        <a:ext cx="5334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742950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1249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11</xdr:col>
      <xdr:colOff>742950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0" y="6438900"/>
        <a:ext cx="9124950" cy="670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7"/>
  <sheetViews>
    <sheetView tabSelected="1" zoomScale="75" zoomScaleNormal="75" workbookViewId="0" topLeftCell="A1">
      <selection activeCell="N54" sqref="N54"/>
    </sheetView>
  </sheetViews>
  <sheetFormatPr defaultColWidth="11.421875" defaultRowHeight="12.75"/>
  <cols>
    <col min="1" max="1" width="16.57421875" style="70" customWidth="1"/>
    <col min="2" max="4" width="14.7109375" style="70" hidden="1" customWidth="1"/>
    <col min="5" max="10" width="14.57421875" style="70" customWidth="1"/>
    <col min="11" max="11" width="14.7109375" style="70" customWidth="1"/>
    <col min="12" max="12" width="16.00390625" style="70" bestFit="1" customWidth="1"/>
    <col min="13" max="13" width="14.421875" style="70" bestFit="1" customWidth="1"/>
    <col min="14" max="14" width="14.421875" style="70" customWidth="1"/>
    <col min="15" max="16384" width="11.421875" style="70" customWidth="1"/>
  </cols>
  <sheetData>
    <row r="3" spans="1:2" ht="23.25">
      <c r="A3" s="183" t="s">
        <v>202</v>
      </c>
      <c r="B3" s="69"/>
    </row>
    <row r="4" ht="15.75">
      <c r="A4" s="184"/>
    </row>
    <row r="5" spans="1:14" ht="15">
      <c r="A5" s="185"/>
      <c r="B5" s="186"/>
      <c r="C5" s="186"/>
      <c r="D5" s="187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5.75">
      <c r="A6" s="188"/>
      <c r="B6" s="189">
        <v>1997</v>
      </c>
      <c r="C6" s="190">
        <v>1998</v>
      </c>
      <c r="D6" s="189">
        <v>1999</v>
      </c>
      <c r="E6" s="189">
        <v>2001</v>
      </c>
      <c r="F6" s="189">
        <v>2002</v>
      </c>
      <c r="G6" s="189">
        <v>2003</v>
      </c>
      <c r="H6" s="189">
        <v>2004</v>
      </c>
      <c r="I6" s="189">
        <v>2005</v>
      </c>
      <c r="J6" s="189">
        <v>2006</v>
      </c>
      <c r="K6" s="189">
        <v>2007</v>
      </c>
      <c r="L6" s="189">
        <v>2008</v>
      </c>
      <c r="M6" s="189">
        <v>2009</v>
      </c>
      <c r="N6" s="189">
        <v>2010</v>
      </c>
    </row>
    <row r="7" spans="1:14" ht="15.75">
      <c r="A7" s="188"/>
      <c r="B7" s="189" t="s">
        <v>1</v>
      </c>
      <c r="C7" s="189" t="s">
        <v>1</v>
      </c>
      <c r="D7" s="190" t="s">
        <v>1</v>
      </c>
      <c r="E7" s="189" t="s">
        <v>1</v>
      </c>
      <c r="F7" s="189" t="s">
        <v>1</v>
      </c>
      <c r="G7" s="189" t="s">
        <v>1</v>
      </c>
      <c r="H7" s="189" t="s">
        <v>1</v>
      </c>
      <c r="I7" s="189" t="s">
        <v>1</v>
      </c>
      <c r="J7" s="189" t="s">
        <v>1</v>
      </c>
      <c r="K7" s="189" t="s">
        <v>1</v>
      </c>
      <c r="L7" s="189" t="s">
        <v>1</v>
      </c>
      <c r="M7" s="189" t="s">
        <v>2</v>
      </c>
      <c r="N7" s="189" t="s">
        <v>2</v>
      </c>
    </row>
    <row r="8" spans="1:14" ht="15.75">
      <c r="A8" s="188"/>
      <c r="B8" s="189" t="s">
        <v>0</v>
      </c>
      <c r="C8" s="190" t="s">
        <v>0</v>
      </c>
      <c r="D8" s="189" t="s">
        <v>0</v>
      </c>
      <c r="E8" s="189"/>
      <c r="F8" s="188"/>
      <c r="G8" s="188"/>
      <c r="H8" s="188"/>
      <c r="I8" s="188"/>
      <c r="J8" s="188"/>
      <c r="K8" s="188"/>
      <c r="L8" s="188"/>
      <c r="M8" s="188"/>
      <c r="N8" s="188"/>
    </row>
    <row r="9" spans="1:14" ht="15">
      <c r="A9" s="191"/>
      <c r="B9" s="192"/>
      <c r="C9" s="193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5">
      <c r="A10" s="86"/>
      <c r="B10" s="86"/>
      <c r="C10" s="86"/>
      <c r="D10" s="194"/>
      <c r="E10" s="194"/>
      <c r="F10" s="194"/>
      <c r="G10" s="194"/>
      <c r="H10" s="194"/>
      <c r="I10" s="194"/>
      <c r="J10" s="194"/>
      <c r="K10" s="186"/>
      <c r="L10" s="186"/>
      <c r="M10" s="186"/>
      <c r="N10" s="186"/>
    </row>
    <row r="11" spans="1:14" ht="15.75">
      <c r="A11" s="195" t="s">
        <v>3</v>
      </c>
      <c r="B11" s="86"/>
      <c r="C11" s="86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</row>
    <row r="12" spans="1:14" ht="15.75">
      <c r="A12" s="195" t="s">
        <v>204</v>
      </c>
      <c r="B12" s="196">
        <f>198921630/1.95583</f>
        <v>101707014.41331813</v>
      </c>
      <c r="C12" s="196">
        <f>235145272.95/1.95583</f>
        <v>120227868.96100377</v>
      </c>
      <c r="D12" s="197">
        <f>244958015/1.95583</f>
        <v>125245044.30344151</v>
      </c>
      <c r="E12" s="197">
        <f>254738760.68/1.95583</f>
        <v>130245860.1616705</v>
      </c>
      <c r="F12" s="197">
        <v>135385202.34</v>
      </c>
      <c r="G12" s="197">
        <v>138928431.16</v>
      </c>
      <c r="H12" s="197">
        <v>152332950.19</v>
      </c>
      <c r="I12" s="197">
        <v>201354973</v>
      </c>
      <c r="J12" s="197">
        <v>227653052</v>
      </c>
      <c r="K12" s="197">
        <v>239086672</v>
      </c>
      <c r="L12" s="197">
        <v>238300771</v>
      </c>
      <c r="M12" s="197">
        <v>240720000</v>
      </c>
      <c r="N12" s="197">
        <v>255021300</v>
      </c>
    </row>
    <row r="13" spans="1:14" ht="15.75">
      <c r="A13" s="198"/>
      <c r="B13" s="199"/>
      <c r="C13" s="199"/>
      <c r="D13" s="199"/>
      <c r="E13" s="200"/>
      <c r="F13" s="200"/>
      <c r="G13" s="200"/>
      <c r="H13" s="200"/>
      <c r="I13" s="200"/>
      <c r="J13" s="200"/>
      <c r="K13" s="192"/>
      <c r="L13" s="192"/>
      <c r="M13" s="192"/>
      <c r="N13" s="192"/>
    </row>
    <row r="14" spans="1:5" ht="15.75">
      <c r="A14" s="201"/>
      <c r="B14" s="202"/>
      <c r="C14" s="94"/>
      <c r="D14" s="201"/>
      <c r="E14" s="201"/>
    </row>
    <row r="15" spans="1:5" ht="15.75">
      <c r="A15" s="201"/>
      <c r="B15" s="202"/>
      <c r="C15" s="94"/>
      <c r="D15" s="201"/>
      <c r="E15" s="201"/>
    </row>
    <row r="16" spans="1:5" ht="15.75">
      <c r="A16" s="201"/>
      <c r="B16" s="202"/>
      <c r="C16" s="94"/>
      <c r="D16" s="201"/>
      <c r="E16" s="201"/>
    </row>
    <row r="17" spans="1:5" ht="15.75">
      <c r="A17" s="203" t="s">
        <v>197</v>
      </c>
      <c r="B17" s="202"/>
      <c r="C17" s="94"/>
      <c r="D17" s="201"/>
      <c r="E17" s="201"/>
    </row>
    <row r="18" spans="1:5" ht="15.75">
      <c r="A18" s="203" t="s">
        <v>4</v>
      </c>
      <c r="B18" s="202"/>
      <c r="C18" s="94"/>
      <c r="D18" s="201"/>
      <c r="E18" s="201"/>
    </row>
    <row r="19" spans="1:5" ht="15.75">
      <c r="A19" s="203"/>
      <c r="B19" s="202"/>
      <c r="C19" s="94"/>
      <c r="D19" s="201"/>
      <c r="E19" s="201"/>
    </row>
    <row r="20" spans="1:14" ht="15">
      <c r="A20" s="185"/>
      <c r="B20" s="186"/>
      <c r="C20" s="186"/>
      <c r="D20" s="187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15.75">
      <c r="A21" s="204"/>
      <c r="B21" s="189">
        <v>1997</v>
      </c>
      <c r="C21" s="190">
        <v>1998</v>
      </c>
      <c r="D21" s="189">
        <v>1999</v>
      </c>
      <c r="E21" s="189">
        <v>2001</v>
      </c>
      <c r="F21" s="189">
        <v>2002</v>
      </c>
      <c r="G21" s="189">
        <v>2003</v>
      </c>
      <c r="H21" s="189">
        <v>2004</v>
      </c>
      <c r="I21" s="189">
        <v>2005</v>
      </c>
      <c r="J21" s="189">
        <v>2006</v>
      </c>
      <c r="K21" s="189">
        <v>2007</v>
      </c>
      <c r="L21" s="189">
        <v>2008</v>
      </c>
      <c r="M21" s="189">
        <v>2009</v>
      </c>
      <c r="N21" s="189">
        <v>2010</v>
      </c>
    </row>
    <row r="22" spans="1:14" ht="15.75">
      <c r="A22" s="204"/>
      <c r="B22" s="189" t="s">
        <v>1</v>
      </c>
      <c r="C22" s="189" t="s">
        <v>1</v>
      </c>
      <c r="D22" s="190" t="s">
        <v>1</v>
      </c>
      <c r="E22" s="189" t="s">
        <v>1</v>
      </c>
      <c r="F22" s="189" t="s">
        <v>1</v>
      </c>
      <c r="G22" s="189" t="s">
        <v>1</v>
      </c>
      <c r="H22" s="189" t="s">
        <v>1</v>
      </c>
      <c r="I22" s="189" t="s">
        <v>1</v>
      </c>
      <c r="J22" s="189" t="s">
        <v>1</v>
      </c>
      <c r="K22" s="189" t="s">
        <v>1</v>
      </c>
      <c r="L22" s="189" t="s">
        <v>1</v>
      </c>
      <c r="M22" s="189" t="s">
        <v>2</v>
      </c>
      <c r="N22" s="189" t="s">
        <v>2</v>
      </c>
    </row>
    <row r="23" spans="1:14" ht="15.75">
      <c r="A23" s="204"/>
      <c r="B23" s="189" t="s">
        <v>0</v>
      </c>
      <c r="C23" s="190" t="s">
        <v>0</v>
      </c>
      <c r="D23" s="189" t="s">
        <v>0</v>
      </c>
      <c r="E23" s="189"/>
      <c r="F23" s="188"/>
      <c r="G23" s="188"/>
      <c r="H23" s="188"/>
      <c r="I23" s="188"/>
      <c r="J23" s="188"/>
      <c r="K23" s="188"/>
      <c r="L23" s="188"/>
      <c r="M23" s="188"/>
      <c r="N23" s="188"/>
    </row>
    <row r="24" spans="1:14" ht="15">
      <c r="A24" s="191"/>
      <c r="B24" s="192"/>
      <c r="C24" s="193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5">
      <c r="A25" s="86"/>
      <c r="B25" s="186"/>
      <c r="C25" s="201"/>
      <c r="D25" s="194"/>
      <c r="E25" s="194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15.75">
      <c r="A26" s="205" t="s">
        <v>5</v>
      </c>
      <c r="B26" s="206">
        <f>-10346726/1.95583</f>
        <v>-5290197.000761825</v>
      </c>
      <c r="C26" s="206">
        <f>-10904655.76/1.95583</f>
        <v>-5575461.957327579</v>
      </c>
      <c r="D26" s="206">
        <f>(1083550.43-12763668.46)/1.95583</f>
        <v>-5971949.520152571</v>
      </c>
      <c r="E26" s="206">
        <f>(1782191.75-13402051.57)/1.95583</f>
        <v>-5941139.986604153</v>
      </c>
      <c r="F26" s="206">
        <f>978471.15-7413617.67</f>
        <v>-6435146.52</v>
      </c>
      <c r="G26" s="206">
        <v>-6337940</v>
      </c>
      <c r="H26" s="206">
        <v>-6765818</v>
      </c>
      <c r="I26" s="206">
        <v>-6260038</v>
      </c>
      <c r="J26" s="206">
        <v>-6286357.26</v>
      </c>
      <c r="K26" s="206">
        <v>-6317455.45</v>
      </c>
      <c r="L26" s="206">
        <v>-6884506</v>
      </c>
      <c r="M26" s="206">
        <v>-7903300</v>
      </c>
      <c r="N26" s="206">
        <v>-8031500</v>
      </c>
    </row>
    <row r="27" spans="1:14" ht="15">
      <c r="A27" s="191"/>
      <c r="B27" s="207"/>
      <c r="C27" s="207"/>
      <c r="D27" s="207"/>
      <c r="E27" s="207"/>
      <c r="F27" s="192"/>
      <c r="G27" s="192"/>
      <c r="H27" s="192"/>
      <c r="I27" s="192"/>
      <c r="J27" s="192"/>
      <c r="K27" s="192"/>
      <c r="L27" s="207"/>
      <c r="M27" s="207"/>
      <c r="N27" s="207"/>
    </row>
    <row r="28" spans="1:14" ht="15">
      <c r="A28" s="185"/>
      <c r="B28" s="208"/>
      <c r="C28" s="208"/>
      <c r="D28" s="208"/>
      <c r="E28" s="208"/>
      <c r="F28" s="186"/>
      <c r="G28" s="186"/>
      <c r="H28" s="186"/>
      <c r="I28" s="186"/>
      <c r="J28" s="186"/>
      <c r="K28" s="186"/>
      <c r="L28" s="208"/>
      <c r="M28" s="208"/>
      <c r="N28" s="208"/>
    </row>
    <row r="29" spans="1:14" ht="15.75">
      <c r="A29" s="205" t="s">
        <v>6</v>
      </c>
      <c r="B29" s="206">
        <f>-2432432/1.95583</f>
        <v>-1243682.7331618802</v>
      </c>
      <c r="C29" s="206">
        <f>-2682072.04/1.95583</f>
        <v>-1371321.6588353794</v>
      </c>
      <c r="D29" s="206">
        <f>(12788034.14-14905062.07)/1.95583</f>
        <v>-1082419.1928746363</v>
      </c>
      <c r="E29" s="206">
        <f>(10921719.38-15412696.23)/1.95583</f>
        <v>-2296200.0020451676</v>
      </c>
      <c r="F29" s="206">
        <f>7140493.79-8621002.44</f>
        <v>-1480508.6499999994</v>
      </c>
      <c r="G29" s="206">
        <v>-2006729</v>
      </c>
      <c r="H29" s="206">
        <v>-2745171</v>
      </c>
      <c r="I29" s="206">
        <v>-2514703</v>
      </c>
      <c r="J29" s="206">
        <v>-2886646.88</v>
      </c>
      <c r="K29" s="206">
        <v>-1459472.65</v>
      </c>
      <c r="L29" s="244">
        <v>-2294685.05</v>
      </c>
      <c r="M29" s="206">
        <v>-2634900</v>
      </c>
      <c r="N29" s="206">
        <v>-2390300</v>
      </c>
    </row>
    <row r="30" spans="1:14" ht="15">
      <c r="A30" s="191"/>
      <c r="B30" s="207"/>
      <c r="C30" s="207"/>
      <c r="D30" s="207"/>
      <c r="E30" s="207"/>
      <c r="F30" s="192"/>
      <c r="G30" s="192"/>
      <c r="H30" s="192"/>
      <c r="I30" s="192"/>
      <c r="J30" s="192"/>
      <c r="K30" s="192"/>
      <c r="L30" s="207"/>
      <c r="M30" s="207"/>
      <c r="N30" s="207"/>
    </row>
    <row r="31" spans="1:14" ht="15">
      <c r="A31" s="185"/>
      <c r="B31" s="208"/>
      <c r="C31" s="208"/>
      <c r="D31" s="208"/>
      <c r="E31" s="208"/>
      <c r="F31" s="186"/>
      <c r="G31" s="186"/>
      <c r="H31" s="186"/>
      <c r="I31" s="186"/>
      <c r="J31" s="186"/>
      <c r="K31" s="186"/>
      <c r="L31" s="208"/>
      <c r="M31" s="208"/>
      <c r="N31" s="208"/>
    </row>
    <row r="32" spans="1:14" ht="15.75">
      <c r="A32" s="205" t="s">
        <v>7</v>
      </c>
      <c r="B32" s="206">
        <f>-21917827/1.95583</f>
        <v>-11206406.99856327</v>
      </c>
      <c r="C32" s="206">
        <f>-24460278.68/1.95583</f>
        <v>-12506341.900880955</v>
      </c>
      <c r="D32" s="206">
        <f>(1715426.09-27167023.11)/1.95583</f>
        <v>-13013194.919803869</v>
      </c>
      <c r="E32" s="206">
        <v>-12893034.13</v>
      </c>
      <c r="F32" s="206">
        <f>766608.48-14319540.86</f>
        <v>-13552932.379999999</v>
      </c>
      <c r="G32" s="206">
        <v>-13220269</v>
      </c>
      <c r="H32" s="206">
        <v>-22037654</v>
      </c>
      <c r="I32" s="206">
        <v>-23931398</v>
      </c>
      <c r="J32" s="206">
        <v>-23670681.04</v>
      </c>
      <c r="K32" s="206">
        <v>-25124552</v>
      </c>
      <c r="L32" s="206">
        <v>-25447369.89</v>
      </c>
      <c r="M32" s="206">
        <v>-26250600</v>
      </c>
      <c r="N32" s="206">
        <v>-27942200</v>
      </c>
    </row>
    <row r="33" spans="1:14" ht="15">
      <c r="A33" s="191"/>
      <c r="B33" s="207"/>
      <c r="C33" s="207"/>
      <c r="D33" s="207"/>
      <c r="E33" s="207"/>
      <c r="F33" s="192"/>
      <c r="G33" s="192"/>
      <c r="H33" s="192"/>
      <c r="I33" s="192"/>
      <c r="J33" s="192"/>
      <c r="K33" s="207"/>
      <c r="L33" s="207"/>
      <c r="M33" s="207"/>
      <c r="N33" s="207"/>
    </row>
    <row r="34" spans="1:14" ht="15">
      <c r="A34" s="185"/>
      <c r="B34" s="208"/>
      <c r="C34" s="208"/>
      <c r="D34" s="208"/>
      <c r="E34" s="208"/>
      <c r="F34" s="186"/>
      <c r="G34" s="186"/>
      <c r="H34" s="186"/>
      <c r="I34" s="186"/>
      <c r="J34" s="186"/>
      <c r="K34" s="208"/>
      <c r="L34" s="208"/>
      <c r="M34" s="208"/>
      <c r="N34" s="208"/>
    </row>
    <row r="35" spans="1:14" ht="15.75">
      <c r="A35" s="205" t="s">
        <v>8</v>
      </c>
      <c r="B35" s="206">
        <f>-2543268/1.95583</f>
        <v>-1300352.2801061443</v>
      </c>
      <c r="C35" s="206">
        <f>-2375024.94/1.95583</f>
        <v>-1214330.969460536</v>
      </c>
      <c r="D35" s="206">
        <f>(86154.99-2472252.48)/1.95583</f>
        <v>-1219992.274379675</v>
      </c>
      <c r="E35" s="206">
        <f>(64731.53-2551703.25)/1.95583</f>
        <v>-1271568.4492005953</v>
      </c>
      <c r="F35" s="206">
        <f>32783.27-1326708.54</f>
        <v>-1293925.27</v>
      </c>
      <c r="G35" s="206">
        <v>-1221747</v>
      </c>
      <c r="H35" s="206">
        <v>-1345723</v>
      </c>
      <c r="I35" s="206">
        <v>-1350111</v>
      </c>
      <c r="J35" s="206">
        <v>-1314802.8</v>
      </c>
      <c r="K35" s="206">
        <v>-1421497.8</v>
      </c>
      <c r="L35" s="206">
        <v>-1601429</v>
      </c>
      <c r="M35" s="206">
        <v>-1516000</v>
      </c>
      <c r="N35" s="206">
        <v>-1793600</v>
      </c>
    </row>
    <row r="36" spans="1:14" ht="15">
      <c r="A36" s="191"/>
      <c r="B36" s="207"/>
      <c r="C36" s="207"/>
      <c r="D36" s="207"/>
      <c r="E36" s="207"/>
      <c r="F36" s="192"/>
      <c r="G36" s="192"/>
      <c r="H36" s="192"/>
      <c r="I36" s="192"/>
      <c r="J36" s="192"/>
      <c r="K36" s="207"/>
      <c r="L36" s="207"/>
      <c r="M36" s="207"/>
      <c r="N36" s="207"/>
    </row>
    <row r="37" spans="1:14" ht="15">
      <c r="A37" s="185"/>
      <c r="B37" s="208"/>
      <c r="C37" s="208"/>
      <c r="D37" s="208"/>
      <c r="E37" s="208"/>
      <c r="F37" s="186"/>
      <c r="G37" s="186"/>
      <c r="H37" s="186"/>
      <c r="I37" s="186"/>
      <c r="J37" s="186"/>
      <c r="K37" s="208"/>
      <c r="L37" s="208"/>
      <c r="M37" s="208"/>
      <c r="N37" s="208"/>
    </row>
    <row r="38" spans="1:14" ht="15.75">
      <c r="A38" s="205" t="s">
        <v>9</v>
      </c>
      <c r="B38" s="206">
        <f>-50291269/1.95583</f>
        <v>-25713517.534755066</v>
      </c>
      <c r="C38" s="206">
        <f>-54949438.99/1.95583</f>
        <v>-28095202.031873938</v>
      </c>
      <c r="D38" s="206">
        <f>(59983575.51-117285520.92)/1.95583</f>
        <v>-29298019.46488192</v>
      </c>
      <c r="E38" s="206">
        <f>(65567474.1-126199202.63)/1.95583</f>
        <v>-31000510.540282127</v>
      </c>
      <c r="F38" s="206">
        <f>34748725.08-66839259.85</f>
        <v>-32090534.770000003</v>
      </c>
      <c r="G38" s="206">
        <v>-32445506</v>
      </c>
      <c r="H38" s="206">
        <v>-35712651</v>
      </c>
      <c r="I38" s="206">
        <v>-33390317</v>
      </c>
      <c r="J38" s="206">
        <v>-34482138.78</v>
      </c>
      <c r="K38" s="206">
        <v>-34870499.79</v>
      </c>
      <c r="L38" s="206">
        <v>-37688355</v>
      </c>
      <c r="M38" s="206">
        <v>-42111900</v>
      </c>
      <c r="N38" s="206">
        <v>-47456300</v>
      </c>
    </row>
    <row r="39" spans="1:14" ht="15">
      <c r="A39" s="191"/>
      <c r="B39" s="207"/>
      <c r="C39" s="207"/>
      <c r="D39" s="207"/>
      <c r="E39" s="207"/>
      <c r="F39" s="192"/>
      <c r="G39" s="192"/>
      <c r="H39" s="192"/>
      <c r="I39" s="192"/>
      <c r="J39" s="192"/>
      <c r="K39" s="207"/>
      <c r="L39" s="207"/>
      <c r="M39" s="207"/>
      <c r="N39" s="207"/>
    </row>
    <row r="40" spans="1:14" ht="15">
      <c r="A40" s="185"/>
      <c r="B40" s="208"/>
      <c r="C40" s="208"/>
      <c r="D40" s="208"/>
      <c r="E40" s="208"/>
      <c r="F40" s="186"/>
      <c r="G40" s="186"/>
      <c r="H40" s="186"/>
      <c r="I40" s="186"/>
      <c r="J40" s="186"/>
      <c r="K40" s="208"/>
      <c r="L40" s="208"/>
      <c r="M40" s="208"/>
      <c r="N40" s="208"/>
    </row>
    <row r="41" spans="1:14" ht="15.75">
      <c r="A41" s="205" t="s">
        <v>10</v>
      </c>
      <c r="B41" s="206">
        <f>-3211613/1.95583</f>
        <v>-1642071.6524442309</v>
      </c>
      <c r="C41" s="206">
        <f>-3424876.07/1.95583</f>
        <v>-1751111.3286942116</v>
      </c>
      <c r="D41" s="206">
        <f>(2114933.4-5278629.17)/1.95583</f>
        <v>-1617571.961775819</v>
      </c>
      <c r="E41" s="206">
        <f>(2446397.19-5353299.45)/1.95583</f>
        <v>-1486275.5249689391</v>
      </c>
      <c r="F41" s="206">
        <f>1515360.64-2916634.35</f>
        <v>-1401273.7100000002</v>
      </c>
      <c r="G41" s="206">
        <v>-1658031</v>
      </c>
      <c r="H41" s="206">
        <v>-709783</v>
      </c>
      <c r="I41" s="206">
        <v>-631770</v>
      </c>
      <c r="J41" s="206">
        <v>-1422120.06</v>
      </c>
      <c r="K41" s="206">
        <v>-1251173.35</v>
      </c>
      <c r="L41" s="206">
        <v>-2878913.85</v>
      </c>
      <c r="M41" s="206">
        <v>-3447400</v>
      </c>
      <c r="N41" s="206">
        <v>-3284200</v>
      </c>
    </row>
    <row r="42" spans="1:14" ht="15">
      <c r="A42" s="191"/>
      <c r="B42" s="207"/>
      <c r="C42" s="207"/>
      <c r="D42" s="207"/>
      <c r="E42" s="207"/>
      <c r="F42" s="192"/>
      <c r="G42" s="192"/>
      <c r="H42" s="192"/>
      <c r="I42" s="192"/>
      <c r="J42" s="192"/>
      <c r="K42" s="207"/>
      <c r="L42" s="207"/>
      <c r="M42" s="207"/>
      <c r="N42" s="207"/>
    </row>
    <row r="43" spans="1:14" ht="15">
      <c r="A43" s="185"/>
      <c r="B43" s="208"/>
      <c r="C43" s="208"/>
      <c r="D43" s="208"/>
      <c r="E43" s="208"/>
      <c r="F43" s="186"/>
      <c r="G43" s="186"/>
      <c r="H43" s="186"/>
      <c r="I43" s="186"/>
      <c r="J43" s="186"/>
      <c r="K43" s="208"/>
      <c r="L43" s="208"/>
      <c r="M43" s="208"/>
      <c r="N43" s="208"/>
    </row>
    <row r="44" spans="1:14" ht="15.75">
      <c r="A44" s="205" t="s">
        <v>11</v>
      </c>
      <c r="B44" s="206">
        <f>-3940112/1.95583</f>
        <v>-2014547.276603795</v>
      </c>
      <c r="C44" s="206">
        <f>-3976790.48/1.95583</f>
        <v>-2033300.6856424126</v>
      </c>
      <c r="D44" s="206">
        <f>(2225224.96-6529868.73)/1.95583</f>
        <v>-2200929.411042882</v>
      </c>
      <c r="E44" s="206">
        <f>(3249145.51-7664196.17)/1.95583</f>
        <v>-2257379.557528006</v>
      </c>
      <c r="F44" s="206">
        <f>1191127.5-3881426.81</f>
        <v>-2690299.31</v>
      </c>
      <c r="G44" s="206">
        <v>-3059589</v>
      </c>
      <c r="H44" s="206">
        <v>-2313226</v>
      </c>
      <c r="I44" s="206">
        <v>-2473356</v>
      </c>
      <c r="J44" s="206">
        <v>-2157391.37</v>
      </c>
      <c r="K44" s="206">
        <v>-2079973.89</v>
      </c>
      <c r="L44" s="206">
        <v>-4951782</v>
      </c>
      <c r="M44" s="206">
        <v>-5073100</v>
      </c>
      <c r="N44" s="206">
        <v>-5174300</v>
      </c>
    </row>
    <row r="45" spans="1:14" ht="15">
      <c r="A45" s="191"/>
      <c r="B45" s="207"/>
      <c r="C45" s="207"/>
      <c r="D45" s="207"/>
      <c r="E45" s="207"/>
      <c r="F45" s="192"/>
      <c r="G45" s="192"/>
      <c r="H45" s="192"/>
      <c r="I45" s="192"/>
      <c r="J45" s="192"/>
      <c r="K45" s="207"/>
      <c r="L45" s="207"/>
      <c r="M45" s="207"/>
      <c r="N45" s="207"/>
    </row>
    <row r="46" spans="1:14" ht="15">
      <c r="A46" s="185"/>
      <c r="B46" s="208"/>
      <c r="C46" s="208"/>
      <c r="D46" s="208"/>
      <c r="E46" s="208"/>
      <c r="F46" s="186"/>
      <c r="G46" s="186"/>
      <c r="H46" s="186"/>
      <c r="I46" s="186"/>
      <c r="J46" s="186"/>
      <c r="K46" s="208"/>
      <c r="L46" s="208"/>
      <c r="M46" s="208"/>
      <c r="N46" s="208"/>
    </row>
    <row r="47" spans="1:14" ht="15.75">
      <c r="A47" s="205" t="s">
        <v>12</v>
      </c>
      <c r="B47" s="206">
        <f>-623970/1.95583</f>
        <v>-319030.79511000443</v>
      </c>
      <c r="C47" s="206">
        <f>-771122.26/1.95583</f>
        <v>-394268.5509476795</v>
      </c>
      <c r="D47" s="206">
        <f>(1269485.71-1885304.06)/1.95583</f>
        <v>-314862.92264665134</v>
      </c>
      <c r="E47" s="206">
        <f>(1153308.82-2068696.49)/1.95583</f>
        <v>-468030.2838181232</v>
      </c>
      <c r="F47" s="206">
        <f>548969.48-1176893.88</f>
        <v>-627924.3999999999</v>
      </c>
      <c r="G47" s="206">
        <v>-560711</v>
      </c>
      <c r="H47" s="206">
        <v>-432664</v>
      </c>
      <c r="I47" s="206">
        <v>-506348</v>
      </c>
      <c r="J47" s="206">
        <v>-414839.62</v>
      </c>
      <c r="K47" s="206">
        <v>-726646.98</v>
      </c>
      <c r="L47" s="206">
        <v>-535326.21</v>
      </c>
      <c r="M47" s="206">
        <v>-569400</v>
      </c>
      <c r="N47" s="206">
        <v>-596500</v>
      </c>
    </row>
    <row r="48" spans="1:14" ht="15">
      <c r="A48" s="191"/>
      <c r="B48" s="207"/>
      <c r="C48" s="207"/>
      <c r="D48" s="207"/>
      <c r="E48" s="207"/>
      <c r="F48" s="192"/>
      <c r="G48" s="192"/>
      <c r="H48" s="192"/>
      <c r="I48" s="192"/>
      <c r="J48" s="192"/>
      <c r="K48" s="207"/>
      <c r="L48" s="207"/>
      <c r="M48" s="207"/>
      <c r="N48" s="207"/>
    </row>
    <row r="49" spans="1:14" ht="15">
      <c r="A49" s="185"/>
      <c r="B49" s="208"/>
      <c r="C49" s="208"/>
      <c r="D49" s="208"/>
      <c r="E49" s="208"/>
      <c r="F49" s="186"/>
      <c r="G49" s="186"/>
      <c r="H49" s="186"/>
      <c r="I49" s="186"/>
      <c r="J49" s="186"/>
      <c r="K49" s="208"/>
      <c r="L49" s="208"/>
      <c r="M49" s="208"/>
      <c r="N49" s="208"/>
    </row>
    <row r="50" spans="1:14" ht="15.75">
      <c r="A50" s="205" t="s">
        <v>13</v>
      </c>
      <c r="B50" s="206">
        <f>-900544/1.95583</f>
        <v>-460440.8358599674</v>
      </c>
      <c r="C50" s="206">
        <f>-943665.47/1.95583</f>
        <v>-482488.49337621365</v>
      </c>
      <c r="D50" s="206">
        <f>(652577.47-856435.68)/1.95583</f>
        <v>-104231.04768819381</v>
      </c>
      <c r="E50" s="206">
        <f>(588154.6-675662.8)/1.95583</f>
        <v>-44742.232198094964</v>
      </c>
      <c r="F50" s="206">
        <f>247450.4-412146.38</f>
        <v>-164695.98</v>
      </c>
      <c r="G50" s="206">
        <v>-60928</v>
      </c>
      <c r="H50" s="206">
        <v>3578567</v>
      </c>
      <c r="I50" s="206">
        <v>4300299</v>
      </c>
      <c r="J50" s="206">
        <v>3570392.53</v>
      </c>
      <c r="K50" s="206">
        <v>3463598.66</v>
      </c>
      <c r="L50" s="206">
        <v>4541867</v>
      </c>
      <c r="M50" s="206">
        <v>3598800</v>
      </c>
      <c r="N50" s="206">
        <v>3965800</v>
      </c>
    </row>
    <row r="51" spans="1:14" ht="15">
      <c r="A51" s="191"/>
      <c r="B51" s="207"/>
      <c r="C51" s="207"/>
      <c r="D51" s="207"/>
      <c r="E51" s="207"/>
      <c r="F51" s="192"/>
      <c r="G51" s="192"/>
      <c r="H51" s="192"/>
      <c r="I51" s="192"/>
      <c r="J51" s="192"/>
      <c r="K51" s="207"/>
      <c r="L51" s="207"/>
      <c r="M51" s="207"/>
      <c r="N51" s="207"/>
    </row>
    <row r="52" spans="1:14" ht="15">
      <c r="A52" s="185"/>
      <c r="B52" s="208"/>
      <c r="C52" s="208"/>
      <c r="D52" s="208"/>
      <c r="E52" s="208"/>
      <c r="F52" s="186"/>
      <c r="G52" s="186"/>
      <c r="H52" s="186"/>
      <c r="I52" s="186"/>
      <c r="J52" s="186"/>
      <c r="K52" s="208"/>
      <c r="L52" s="208"/>
      <c r="M52" s="208"/>
      <c r="N52" s="208"/>
    </row>
    <row r="53" spans="1:14" ht="15.75">
      <c r="A53" s="205" t="s">
        <v>14</v>
      </c>
      <c r="B53" s="206">
        <f>80459994/1.95583</f>
        <v>41138541.693296455</v>
      </c>
      <c r="C53" s="206">
        <f>60613652.43/1.95583</f>
        <v>30991268.37710844</v>
      </c>
      <c r="D53" s="206">
        <f>(122990059.86-55814249.82)/1.95583</f>
        <v>34346446.28623142</v>
      </c>
      <c r="E53" s="206">
        <f>(124258562.63-53829159.39)/1.95583</f>
        <v>36009982.07410664</v>
      </c>
      <c r="F53" s="206">
        <f>63479239.98-28477971.56</f>
        <v>35001268.42</v>
      </c>
      <c r="G53" s="206">
        <v>28821667</v>
      </c>
      <c r="H53" s="206">
        <v>27557770</v>
      </c>
      <c r="I53" s="206">
        <v>16909925</v>
      </c>
      <c r="J53" s="206">
        <v>11524624.71</v>
      </c>
      <c r="K53" s="206">
        <v>13716427.64</v>
      </c>
      <c r="L53" s="206">
        <v>23503223</v>
      </c>
      <c r="M53" s="206">
        <v>34237000</v>
      </c>
      <c r="N53" s="206">
        <v>26290100</v>
      </c>
    </row>
    <row r="54" spans="1:14" ht="15">
      <c r="A54" s="191"/>
      <c r="B54" s="207"/>
      <c r="C54" s="207"/>
      <c r="D54" s="207"/>
      <c r="E54" s="207"/>
      <c r="F54" s="192"/>
      <c r="G54" s="192"/>
      <c r="H54" s="192"/>
      <c r="I54" s="192"/>
      <c r="J54" s="192"/>
      <c r="K54" s="192"/>
      <c r="L54" s="207"/>
      <c r="M54" s="207"/>
      <c r="N54" s="207"/>
    </row>
    <row r="55" spans="1:14" ht="15">
      <c r="A55" s="86"/>
      <c r="B55" s="208"/>
      <c r="C55" s="206"/>
      <c r="D55" s="206"/>
      <c r="E55" s="206"/>
      <c r="F55" s="186"/>
      <c r="G55" s="186"/>
      <c r="H55" s="186"/>
      <c r="I55" s="186"/>
      <c r="J55" s="186"/>
      <c r="K55" s="186"/>
      <c r="L55" s="208"/>
      <c r="M55" s="208"/>
      <c r="N55" s="208"/>
    </row>
    <row r="56" spans="1:14" ht="15.75">
      <c r="A56" s="209" t="s">
        <v>15</v>
      </c>
      <c r="B56" s="210">
        <f aca="true" t="shared" si="0" ref="B56:G56">SUM(B26:B53)</f>
        <v>-8051705.414069727</v>
      </c>
      <c r="C56" s="210">
        <f t="shared" si="0"/>
        <v>-22432559.199930467</v>
      </c>
      <c r="D56" s="210">
        <f t="shared" si="0"/>
        <v>-20476724.429014787</v>
      </c>
      <c r="E56" s="210">
        <f t="shared" si="0"/>
        <v>-21648898.632538572</v>
      </c>
      <c r="F56" s="210">
        <f>SUM(F26:F53)</f>
        <v>-24735972.57</v>
      </c>
      <c r="G56" s="210">
        <f t="shared" si="0"/>
        <v>-31749783</v>
      </c>
      <c r="H56" s="210">
        <f>SUM(H26:H53)</f>
        <v>-40926353</v>
      </c>
      <c r="I56" s="210">
        <f>SUM(I26:I53)</f>
        <v>-49847817</v>
      </c>
      <c r="J56" s="210">
        <f>SUM(J26:J53)</f>
        <v>-57539960.57</v>
      </c>
      <c r="K56" s="210">
        <f>SUM(K26:K55)</f>
        <v>-56071245.61</v>
      </c>
      <c r="L56" s="210">
        <f>SUM(L26:L55)</f>
        <v>-54237276.999999985</v>
      </c>
      <c r="M56" s="210">
        <f>SUM(M26:M55)</f>
        <v>-51670800</v>
      </c>
      <c r="N56" s="210">
        <f>SUM(N26:N55)</f>
        <v>-66413000</v>
      </c>
    </row>
    <row r="57" spans="1:14" ht="15">
      <c r="A57" s="191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>&amp;C&amp;"Arial,Fett"&amp;18Seite V 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7" sqref="D7"/>
    </sheetView>
  </sheetViews>
  <sheetFormatPr defaultColWidth="11.421875" defaultRowHeight="12.75"/>
  <cols>
    <col min="1" max="1" width="10.57421875" style="116" customWidth="1"/>
    <col min="2" max="2" width="12.7109375" style="99" bestFit="1" customWidth="1"/>
    <col min="3" max="3" width="8.00390625" style="99" bestFit="1" customWidth="1"/>
    <col min="4" max="4" width="12.7109375" style="99" customWidth="1"/>
    <col min="5" max="6" width="12.7109375" style="116" bestFit="1" customWidth="1"/>
    <col min="7" max="7" width="11.421875" style="116" customWidth="1"/>
    <col min="8" max="8" width="11.7109375" style="116" bestFit="1" customWidth="1"/>
    <col min="9" max="16384" width="11.421875" style="116" customWidth="1"/>
  </cols>
  <sheetData>
    <row r="1" spans="1:4" ht="12.75">
      <c r="A1" s="259" t="s">
        <v>179</v>
      </c>
      <c r="B1" s="259"/>
      <c r="C1" s="164"/>
      <c r="D1" s="164"/>
    </row>
    <row r="2" spans="1:8" ht="12.75">
      <c r="A2" s="116" t="s">
        <v>180</v>
      </c>
      <c r="B2" s="99" t="s">
        <v>181</v>
      </c>
      <c r="D2" s="99" t="s">
        <v>201</v>
      </c>
      <c r="E2" s="116" t="s">
        <v>182</v>
      </c>
      <c r="H2" s="116" t="s">
        <v>186</v>
      </c>
    </row>
    <row r="3" spans="1:8" ht="12.75">
      <c r="A3" s="117">
        <v>39812</v>
      </c>
      <c r="B3" s="99">
        <v>52063000</v>
      </c>
      <c r="C3" s="107"/>
      <c r="D3" s="96">
        <f>(B3-H3)/1000000</f>
        <v>50.378</v>
      </c>
      <c r="E3" s="96">
        <v>65</v>
      </c>
      <c r="H3" s="99">
        <v>1685000</v>
      </c>
    </row>
    <row r="4" spans="1:8" ht="12.75">
      <c r="A4" s="117"/>
      <c r="C4" s="107"/>
      <c r="H4" s="99"/>
    </row>
    <row r="5" spans="1:8" ht="12.75">
      <c r="A5" s="117">
        <v>39813</v>
      </c>
      <c r="B5" s="99">
        <v>53925000</v>
      </c>
      <c r="C5" s="107"/>
      <c r="D5" s="96">
        <f>(B5-H5)/1000000</f>
        <v>52.24</v>
      </c>
      <c r="E5" s="116">
        <v>65</v>
      </c>
      <c r="H5" s="99">
        <v>1685000</v>
      </c>
    </row>
    <row r="6" spans="1:3" ht="12.75">
      <c r="A6" s="117"/>
      <c r="C6" s="107"/>
    </row>
    <row r="7" spans="1:8" ht="12.75">
      <c r="A7" s="117">
        <v>40178</v>
      </c>
      <c r="B7" s="99">
        <v>52292700</v>
      </c>
      <c r="C7" s="107"/>
      <c r="D7" s="96">
        <v>50.5</v>
      </c>
      <c r="E7" s="116">
        <v>65</v>
      </c>
      <c r="H7" s="99">
        <v>1790700</v>
      </c>
    </row>
    <row r="8" spans="1:3" ht="12.75">
      <c r="A8" s="117"/>
      <c r="C8" s="107"/>
    </row>
    <row r="9" spans="1:3" ht="12.75">
      <c r="A9" s="117"/>
      <c r="C9" s="107"/>
    </row>
    <row r="10" spans="1:3" ht="12.75">
      <c r="A10" s="117"/>
      <c r="C10" s="107"/>
    </row>
    <row r="11" spans="1:3" ht="12.75">
      <c r="A11" s="117"/>
      <c r="C11" s="107"/>
    </row>
    <row r="12" spans="1:3" ht="12.75">
      <c r="A12" s="117"/>
      <c r="C12" s="107"/>
    </row>
    <row r="13" spans="1:3" ht="12.75">
      <c r="A13" s="117"/>
      <c r="C13" s="107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5">
      <pane xSplit="4" ySplit="3" topLeftCell="G8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P43" sqref="P43"/>
    </sheetView>
  </sheetViews>
  <sheetFormatPr defaultColWidth="11.421875" defaultRowHeight="12.75"/>
  <cols>
    <col min="1" max="1" width="5.7109375" style="107" customWidth="1"/>
    <col min="2" max="2" width="22.7109375" style="116" customWidth="1"/>
    <col min="3" max="5" width="8.28125" style="116" hidden="1" customWidth="1"/>
    <col min="6" max="6" width="7.421875" style="116" hidden="1" customWidth="1"/>
    <col min="7" max="11" width="7.421875" style="116" bestFit="1" customWidth="1"/>
    <col min="12" max="13" width="7.421875" style="116" customWidth="1"/>
    <col min="14" max="14" width="7.421875" style="116" bestFit="1" customWidth="1"/>
    <col min="15" max="15" width="7.421875" style="116" customWidth="1"/>
    <col min="16" max="16384" width="11.421875" style="116" customWidth="1"/>
  </cols>
  <sheetData>
    <row r="1" spans="1:11" ht="15">
      <c r="A1" s="10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0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0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2.75">
      <c r="A5" s="57"/>
      <c r="B5" s="90"/>
      <c r="C5" s="112" t="s">
        <v>18</v>
      </c>
      <c r="D5" s="91" t="s">
        <v>18</v>
      </c>
      <c r="E5" s="91" t="s">
        <v>18</v>
      </c>
      <c r="F5" s="91" t="s">
        <v>18</v>
      </c>
      <c r="G5" s="91" t="s">
        <v>18</v>
      </c>
      <c r="H5" s="91" t="s">
        <v>18</v>
      </c>
      <c r="I5" s="91" t="s">
        <v>18</v>
      </c>
      <c r="J5" s="91" t="s">
        <v>18</v>
      </c>
      <c r="K5" s="91" t="s">
        <v>18</v>
      </c>
      <c r="L5" s="91" t="s">
        <v>18</v>
      </c>
      <c r="M5" s="91" t="s">
        <v>18</v>
      </c>
      <c r="N5" s="91" t="s">
        <v>19</v>
      </c>
      <c r="O5" s="91" t="s">
        <v>19</v>
      </c>
    </row>
    <row r="6" spans="1:15" ht="12.75">
      <c r="A6" s="11" t="s">
        <v>20</v>
      </c>
      <c r="B6" s="30" t="s">
        <v>21</v>
      </c>
      <c r="C6" s="12">
        <v>1997</v>
      </c>
      <c r="D6" s="30">
        <v>1998</v>
      </c>
      <c r="E6" s="13">
        <v>1999</v>
      </c>
      <c r="F6" s="13">
        <v>2000</v>
      </c>
      <c r="G6" s="30">
        <v>2002</v>
      </c>
      <c r="H6" s="30">
        <v>2003</v>
      </c>
      <c r="I6" s="30">
        <v>2004</v>
      </c>
      <c r="J6" s="30">
        <v>2005</v>
      </c>
      <c r="K6" s="30">
        <v>2006</v>
      </c>
      <c r="L6" s="176">
        <v>2007</v>
      </c>
      <c r="M6" s="176">
        <v>2008</v>
      </c>
      <c r="N6" s="176">
        <v>2009</v>
      </c>
      <c r="O6" s="176">
        <v>2010</v>
      </c>
    </row>
    <row r="7" spans="1:15" ht="12.75">
      <c r="A7" s="11"/>
      <c r="B7" s="30" t="s">
        <v>0</v>
      </c>
      <c r="C7" s="38" t="s">
        <v>198</v>
      </c>
      <c r="D7" s="38" t="s">
        <v>198</v>
      </c>
      <c r="E7" s="38" t="s">
        <v>198</v>
      </c>
      <c r="F7" s="38" t="s">
        <v>198</v>
      </c>
      <c r="G7" s="38" t="s">
        <v>198</v>
      </c>
      <c r="H7" s="38" t="s">
        <v>198</v>
      </c>
      <c r="I7" s="38" t="s">
        <v>198</v>
      </c>
      <c r="J7" s="38" t="s">
        <v>198</v>
      </c>
      <c r="K7" s="38" t="s">
        <v>198</v>
      </c>
      <c r="L7" s="38" t="s">
        <v>198</v>
      </c>
      <c r="M7" s="38" t="s">
        <v>198</v>
      </c>
      <c r="N7" s="38" t="s">
        <v>198</v>
      </c>
      <c r="O7" s="38" t="s">
        <v>198</v>
      </c>
    </row>
    <row r="8" spans="1:15" ht="12.75">
      <c r="A8" s="124"/>
      <c r="B8" s="128"/>
      <c r="C8" s="128"/>
      <c r="D8" s="132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12.75">
      <c r="A9" s="14" t="s">
        <v>22</v>
      </c>
      <c r="B9" s="31" t="s">
        <v>23</v>
      </c>
      <c r="C9" s="15">
        <f>37629/1.95583</f>
        <v>19239.402197532505</v>
      </c>
      <c r="D9" s="39">
        <f>36339.35/1.95583</f>
        <v>18580.0146229478</v>
      </c>
      <c r="E9" s="39">
        <f>36542.59/1.95583</f>
        <v>18683.92958488212</v>
      </c>
      <c r="F9" s="39">
        <f>(37223.59+0)/1.95583</f>
        <v>19032.119355976745</v>
      </c>
      <c r="G9" s="39">
        <v>19009.98</v>
      </c>
      <c r="H9" s="39">
        <v>18998.95</v>
      </c>
      <c r="I9" s="39">
        <v>20183.36</v>
      </c>
      <c r="J9" s="174">
        <v>20</v>
      </c>
      <c r="K9" s="174">
        <v>21</v>
      </c>
      <c r="L9" s="170">
        <v>21</v>
      </c>
      <c r="M9" s="39">
        <v>21000</v>
      </c>
      <c r="N9" s="39">
        <v>21000</v>
      </c>
      <c r="O9" s="39">
        <v>21700</v>
      </c>
    </row>
    <row r="10" spans="1:15" ht="12.75">
      <c r="A10" s="17"/>
      <c r="B10" s="32"/>
      <c r="C10" s="15"/>
      <c r="D10" s="39"/>
      <c r="E10" s="39"/>
      <c r="F10" s="39"/>
      <c r="G10" s="39"/>
      <c r="H10" s="39"/>
      <c r="I10" s="39"/>
      <c r="J10" s="39"/>
      <c r="K10" s="39"/>
      <c r="L10" s="128"/>
      <c r="M10" s="39"/>
      <c r="N10" s="39"/>
      <c r="O10" s="39"/>
    </row>
    <row r="11" spans="1:15" ht="12.75">
      <c r="A11" s="18" t="s">
        <v>24</v>
      </c>
      <c r="B11" s="33" t="s">
        <v>25</v>
      </c>
      <c r="C11" s="15">
        <f>19745713/1.95583</f>
        <v>10095822.745330628</v>
      </c>
      <c r="D11" s="39">
        <f>25431264/1.95583</f>
        <v>13002798.811757669</v>
      </c>
      <c r="E11" s="39">
        <f>30439336/1.95583</f>
        <v>15563385.365803776</v>
      </c>
      <c r="F11" s="39">
        <f>35260672/1.95583</f>
        <v>18028495.31912283</v>
      </c>
      <c r="G11" s="39">
        <v>17993320</v>
      </c>
      <c r="H11" s="39">
        <v>14952336</v>
      </c>
      <c r="I11" s="39">
        <v>15963064</v>
      </c>
      <c r="J11" s="174">
        <v>15904</v>
      </c>
      <c r="K11" s="174">
        <v>17954</v>
      </c>
      <c r="L11" s="171">
        <v>22433</v>
      </c>
      <c r="M11" s="39">
        <v>19822800</v>
      </c>
      <c r="N11" s="39">
        <v>22529200</v>
      </c>
      <c r="O11" s="39">
        <v>19924700</v>
      </c>
    </row>
    <row r="12" spans="1:15" ht="12.75">
      <c r="A12" s="17"/>
      <c r="B12" s="32"/>
      <c r="C12" s="15"/>
      <c r="D12" s="39"/>
      <c r="E12" s="39"/>
      <c r="F12" s="39"/>
      <c r="G12" s="39"/>
      <c r="H12" s="39"/>
      <c r="I12" s="39"/>
      <c r="J12" s="39"/>
      <c r="K12" s="39"/>
      <c r="L12" s="128"/>
      <c r="M12" s="39"/>
      <c r="N12" s="39"/>
      <c r="O12" s="39"/>
    </row>
    <row r="13" spans="1:15" ht="12.75">
      <c r="A13" s="18" t="s">
        <v>26</v>
      </c>
      <c r="B13" s="33" t="s">
        <v>27</v>
      </c>
      <c r="C13" s="15">
        <f>12431589/1.95583</f>
        <v>6356170.526068217</v>
      </c>
      <c r="D13" s="39">
        <f>12964317.71/1.95583</f>
        <v>6628550.3903713515</v>
      </c>
      <c r="E13" s="39">
        <f>11054773/1.95583</f>
        <v>5652215.683367164</v>
      </c>
      <c r="F13" s="39">
        <f>8508953/1.95583</f>
        <v>4350558.586380207</v>
      </c>
      <c r="G13" s="39">
        <v>3897688</v>
      </c>
      <c r="H13" s="39">
        <v>3998384</v>
      </c>
      <c r="I13" s="39">
        <v>4064208</v>
      </c>
      <c r="J13" s="174">
        <v>4289</v>
      </c>
      <c r="K13" s="174">
        <v>4294</v>
      </c>
      <c r="L13" s="174">
        <v>4003</v>
      </c>
      <c r="M13" s="39">
        <v>3905362</v>
      </c>
      <c r="N13" s="39">
        <v>3970300</v>
      </c>
      <c r="O13" s="39">
        <v>4020500</v>
      </c>
    </row>
    <row r="14" spans="1:15" ht="12.75">
      <c r="A14" s="17"/>
      <c r="B14" s="32"/>
      <c r="C14" s="15"/>
      <c r="D14" s="39"/>
      <c r="E14" s="39"/>
      <c r="F14" s="39"/>
      <c r="G14" s="39"/>
      <c r="H14" s="39"/>
      <c r="I14" s="39"/>
      <c r="J14" s="174"/>
      <c r="K14" s="174"/>
      <c r="L14" s="174"/>
      <c r="M14" s="39"/>
      <c r="N14" s="39"/>
      <c r="O14" s="39"/>
    </row>
    <row r="15" spans="1:15" ht="12.75">
      <c r="A15" s="18" t="s">
        <v>28</v>
      </c>
      <c r="B15" s="31" t="s">
        <v>29</v>
      </c>
      <c r="C15" s="15">
        <f>67285548/1.95583</f>
        <v>34402554.41423846</v>
      </c>
      <c r="D15" s="39">
        <f>69558334/1.95583</f>
        <v>35564611.443734884</v>
      </c>
      <c r="E15" s="39">
        <f>77300940/1.95583</f>
        <v>39523343.030836016</v>
      </c>
      <c r="F15" s="39">
        <f>78271702/1.95583</f>
        <v>40019685.76000982</v>
      </c>
      <c r="G15" s="39">
        <v>40422586</v>
      </c>
      <c r="H15" s="39">
        <v>41259208</v>
      </c>
      <c r="I15" s="39">
        <v>41174788</v>
      </c>
      <c r="J15" s="174">
        <v>41348</v>
      </c>
      <c r="K15" s="174">
        <v>41372</v>
      </c>
      <c r="L15" s="174">
        <v>48773</v>
      </c>
      <c r="M15" s="39">
        <v>53356360</v>
      </c>
      <c r="N15" s="39">
        <v>58167100</v>
      </c>
      <c r="O15" s="39">
        <v>50482500</v>
      </c>
    </row>
    <row r="16" spans="1:15" ht="12.75">
      <c r="A16" s="18"/>
      <c r="B16" s="31"/>
      <c r="C16" s="15"/>
      <c r="D16" s="39"/>
      <c r="E16" s="39"/>
      <c r="F16" s="39"/>
      <c r="G16" s="39"/>
      <c r="H16" s="39"/>
      <c r="I16" s="39"/>
      <c r="J16" s="174"/>
      <c r="K16" s="174"/>
      <c r="L16" s="174"/>
      <c r="M16" s="39"/>
      <c r="N16" s="39"/>
      <c r="O16" s="39"/>
    </row>
    <row r="17" spans="1:15" ht="12.75">
      <c r="A17" s="18" t="s">
        <v>215</v>
      </c>
      <c r="B17" s="31" t="s">
        <v>216</v>
      </c>
      <c r="C17" s="15"/>
      <c r="D17" s="39"/>
      <c r="E17" s="39"/>
      <c r="F17" s="39">
        <v>0</v>
      </c>
      <c r="G17" s="39">
        <v>0</v>
      </c>
      <c r="H17" s="39">
        <v>0</v>
      </c>
      <c r="I17" s="39">
        <v>0</v>
      </c>
      <c r="J17" s="174">
        <v>1538</v>
      </c>
      <c r="K17" s="174">
        <v>1531</v>
      </c>
      <c r="L17" s="174">
        <v>2219</v>
      </c>
      <c r="M17" s="39">
        <v>2180331</v>
      </c>
      <c r="N17" s="39">
        <v>2200000</v>
      </c>
      <c r="O17" s="39">
        <v>2450000</v>
      </c>
    </row>
    <row r="18" spans="1:15" ht="12.75">
      <c r="A18" s="18"/>
      <c r="B18" s="33"/>
      <c r="C18" s="15"/>
      <c r="D18" s="39"/>
      <c r="E18" s="39"/>
      <c r="F18" s="39"/>
      <c r="G18" s="128"/>
      <c r="H18" s="128"/>
      <c r="I18" s="128"/>
      <c r="J18" s="161"/>
      <c r="K18" s="161"/>
      <c r="L18" s="174"/>
      <c r="M18" s="39"/>
      <c r="N18" s="39"/>
      <c r="O18" s="39"/>
    </row>
    <row r="19" spans="1:15" ht="12.75">
      <c r="A19" s="18" t="s">
        <v>30</v>
      </c>
      <c r="B19" s="33" t="s">
        <v>31</v>
      </c>
      <c r="C19" s="15">
        <f>(5979463+4974004)/1.95583</f>
        <v>5600418.7480507</v>
      </c>
      <c r="D19" s="39">
        <f>(4938803.98+6483389.36)/1.95583</f>
        <v>5840074.720195518</v>
      </c>
      <c r="E19" s="39">
        <f>(4916509.98+6495792.66)/1.95583</f>
        <v>5835017.685586171</v>
      </c>
      <c r="F19" s="39">
        <f>(5773693.51+5701674.65+0)/1.95583</f>
        <v>5867262.573945588</v>
      </c>
      <c r="G19" s="39">
        <v>6016178.95</v>
      </c>
      <c r="H19" s="39">
        <v>6016178.95</v>
      </c>
      <c r="I19" s="39">
        <v>5046808.88</v>
      </c>
      <c r="J19" s="174">
        <v>5588</v>
      </c>
      <c r="K19" s="174">
        <v>5547</v>
      </c>
      <c r="L19" s="174">
        <v>6655</v>
      </c>
      <c r="M19" s="39">
        <v>6607349</v>
      </c>
      <c r="N19" s="39">
        <v>6182300</v>
      </c>
      <c r="O19" s="39">
        <v>6140600</v>
      </c>
    </row>
    <row r="20" spans="1:15" ht="12.75">
      <c r="A20" s="18"/>
      <c r="B20" s="33"/>
      <c r="C20" s="15"/>
      <c r="D20" s="39"/>
      <c r="E20" s="39"/>
      <c r="F20" s="39"/>
      <c r="G20" s="39"/>
      <c r="H20" s="39"/>
      <c r="I20" s="39"/>
      <c r="J20" s="174"/>
      <c r="K20" s="174"/>
      <c r="L20" s="174"/>
      <c r="M20" s="39"/>
      <c r="N20" s="39"/>
      <c r="O20" s="39"/>
    </row>
    <row r="21" spans="1:15" ht="24">
      <c r="A21" s="18" t="s">
        <v>32</v>
      </c>
      <c r="B21" s="31" t="s">
        <v>33</v>
      </c>
      <c r="C21" s="15">
        <f>(68135+817601+1085962)/1.95583</f>
        <v>1008113.1795708216</v>
      </c>
      <c r="D21" s="39">
        <f>(120562.36+726340.33+1110585.61)/1.95583</f>
        <v>1000847.8753265877</v>
      </c>
      <c r="E21" s="39">
        <f>(145190.34+677995.44+972520.41)/1.95583</f>
        <v>918129.9959607942</v>
      </c>
      <c r="F21" s="39">
        <f>(267555.25+644048.81+1682712.78)/1.95583</f>
        <v>1326453.137542629</v>
      </c>
      <c r="G21" s="39">
        <v>1181755.8</v>
      </c>
      <c r="H21" s="39">
        <f>78072.05+363299.71+184102.93+254865.87+3318.64</f>
        <v>883659.2</v>
      </c>
      <c r="I21" s="39">
        <v>286073.55</v>
      </c>
      <c r="J21" s="174">
        <v>365</v>
      </c>
      <c r="K21" s="174">
        <v>507</v>
      </c>
      <c r="L21" s="174">
        <v>619</v>
      </c>
      <c r="M21" s="39">
        <v>647092</v>
      </c>
      <c r="N21" s="39">
        <v>671900</v>
      </c>
      <c r="O21" s="39">
        <v>676400</v>
      </c>
    </row>
    <row r="22" spans="1:15" ht="12.75">
      <c r="A22" s="18"/>
      <c r="B22" s="33"/>
      <c r="C22" s="15"/>
      <c r="D22" s="39"/>
      <c r="E22" s="39"/>
      <c r="F22" s="39"/>
      <c r="G22" s="39"/>
      <c r="H22" s="39"/>
      <c r="I22" s="39"/>
      <c r="J22" s="174"/>
      <c r="K22" s="174"/>
      <c r="L22" s="174"/>
      <c r="M22" s="39"/>
      <c r="N22" s="39"/>
      <c r="O22" s="39"/>
    </row>
    <row r="23" spans="1:15" ht="12.75">
      <c r="A23" s="18" t="s">
        <v>34</v>
      </c>
      <c r="B23" s="31" t="s">
        <v>35</v>
      </c>
      <c r="C23" s="15">
        <f>54318036/1.95583</f>
        <v>27772370.809323918</v>
      </c>
      <c r="D23" s="39">
        <f>51413440.09/1.95583</f>
        <v>26287274.50238518</v>
      </c>
      <c r="E23" s="39">
        <f>52603595.04/1.95583</f>
        <v>26895791.065685667</v>
      </c>
      <c r="F23" s="39">
        <f>52879028.85/1.95583</f>
        <v>27036618.13654561</v>
      </c>
      <c r="G23" s="39">
        <v>30563324.22</v>
      </c>
      <c r="H23" s="39">
        <v>31658207.64</v>
      </c>
      <c r="I23" s="39">
        <v>32177299.19</v>
      </c>
      <c r="J23" s="174">
        <v>27718</v>
      </c>
      <c r="K23" s="174">
        <v>28499</v>
      </c>
      <c r="L23" s="174">
        <v>30745</v>
      </c>
      <c r="M23" s="39">
        <v>32212132</v>
      </c>
      <c r="N23" s="39">
        <f>28739200+1617800</f>
        <v>30357000</v>
      </c>
      <c r="O23" s="39">
        <v>31948100</v>
      </c>
    </row>
    <row r="24" spans="1:15" ht="12.75">
      <c r="A24" s="18"/>
      <c r="B24" s="31"/>
      <c r="C24" s="15"/>
      <c r="D24" s="39"/>
      <c r="E24" s="39"/>
      <c r="F24" s="39"/>
      <c r="G24" s="39"/>
      <c r="H24" s="39"/>
      <c r="I24" s="39"/>
      <c r="J24" s="174"/>
      <c r="K24" s="174"/>
      <c r="L24" s="174"/>
      <c r="M24" s="39"/>
      <c r="N24" s="39"/>
      <c r="O24" s="39"/>
    </row>
    <row r="25" spans="1:15" ht="24">
      <c r="A25" s="18" t="s">
        <v>36</v>
      </c>
      <c r="B25" s="31" t="s">
        <v>37</v>
      </c>
      <c r="C25" s="15">
        <f>606526/1.95583</f>
        <v>310111.8195344176</v>
      </c>
      <c r="D25" s="39">
        <f>2101346.07/1.95583</f>
        <v>1074401.1851745807</v>
      </c>
      <c r="E25" s="39">
        <f>821238.3/1.95583</f>
        <v>419892.47531738447</v>
      </c>
      <c r="F25" s="39">
        <f>1240777.74/1.95583</f>
        <v>634399.5848309925</v>
      </c>
      <c r="G25" s="39">
        <v>1118566.8</v>
      </c>
      <c r="H25" s="39">
        <v>1081369.37</v>
      </c>
      <c r="I25" s="39">
        <v>656840.62</v>
      </c>
      <c r="J25" s="174">
        <v>5470</v>
      </c>
      <c r="K25" s="174">
        <v>5695</v>
      </c>
      <c r="L25" s="174">
        <v>5463</v>
      </c>
      <c r="M25" s="39">
        <v>6697647</v>
      </c>
      <c r="N25" s="39">
        <v>6439100</v>
      </c>
      <c r="O25" s="39">
        <v>7578600</v>
      </c>
    </row>
    <row r="26" spans="1:15" ht="12.75">
      <c r="A26" s="18"/>
      <c r="B26" s="31"/>
      <c r="C26" s="15"/>
      <c r="D26" s="39"/>
      <c r="E26" s="39"/>
      <c r="F26" s="39"/>
      <c r="G26" s="39"/>
      <c r="H26" s="39"/>
      <c r="I26" s="39"/>
      <c r="J26" s="174"/>
      <c r="K26" s="174"/>
      <c r="L26" s="174"/>
      <c r="M26" s="39"/>
      <c r="N26" s="39"/>
      <c r="O26" s="39"/>
    </row>
    <row r="27" spans="1:15" ht="12.75">
      <c r="A27" s="18" t="s">
        <v>208</v>
      </c>
      <c r="B27" s="31" t="s">
        <v>209</v>
      </c>
      <c r="C27" s="15"/>
      <c r="D27" s="39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174">
        <v>38113</v>
      </c>
      <c r="K27" s="174">
        <v>52320</v>
      </c>
      <c r="L27" s="174">
        <v>50192</v>
      </c>
      <c r="M27" s="39">
        <v>45053180</v>
      </c>
      <c r="N27" s="39">
        <v>44871700</v>
      </c>
      <c r="O27" s="39">
        <v>51161000</v>
      </c>
    </row>
    <row r="28" spans="1:15" ht="12.75">
      <c r="A28" s="18"/>
      <c r="B28" s="31"/>
      <c r="C28" s="15"/>
      <c r="D28" s="39"/>
      <c r="E28" s="39"/>
      <c r="F28" s="39"/>
      <c r="G28" s="39"/>
      <c r="H28" s="39"/>
      <c r="I28" s="39"/>
      <c r="J28" s="174"/>
      <c r="K28" s="174"/>
      <c r="L28" s="174"/>
      <c r="M28" s="39"/>
      <c r="N28" s="39"/>
      <c r="O28" s="39"/>
    </row>
    <row r="29" spans="1:15" ht="12.75">
      <c r="A29" s="18" t="s">
        <v>38</v>
      </c>
      <c r="B29" s="31" t="s">
        <v>39</v>
      </c>
      <c r="C29" s="15">
        <f>22713/1.95583</f>
        <v>11612.972497609711</v>
      </c>
      <c r="D29" s="39">
        <f>24315.16/1.95583</f>
        <v>12432.143897987044</v>
      </c>
      <c r="E29" s="39">
        <f>17406.75/1.95583</f>
        <v>8899.929953012277</v>
      </c>
      <c r="F29" s="39">
        <f>19378.06/1.95583</f>
        <v>9907.844751333194</v>
      </c>
      <c r="G29" s="39">
        <v>10709.67</v>
      </c>
      <c r="H29" s="39">
        <v>20175.49</v>
      </c>
      <c r="I29" s="39">
        <v>4073787.63</v>
      </c>
      <c r="J29" s="174">
        <v>4497</v>
      </c>
      <c r="K29" s="174">
        <v>4059</v>
      </c>
      <c r="L29" s="174">
        <v>3481</v>
      </c>
      <c r="M29" s="39">
        <v>3492132</v>
      </c>
      <c r="N29" s="39">
        <v>3593400</v>
      </c>
      <c r="O29" s="39">
        <v>3972400</v>
      </c>
    </row>
    <row r="30" spans="1:15" ht="12.75">
      <c r="A30" s="18"/>
      <c r="B30" s="31"/>
      <c r="C30" s="15"/>
      <c r="D30" s="39"/>
      <c r="E30" s="39"/>
      <c r="F30" s="39"/>
      <c r="G30" s="39"/>
      <c r="H30" s="39"/>
      <c r="I30" s="39"/>
      <c r="J30" s="174"/>
      <c r="K30" s="174"/>
      <c r="L30" s="174"/>
      <c r="M30" s="39"/>
      <c r="N30" s="39"/>
      <c r="O30" s="39"/>
    </row>
    <row r="31" spans="1:15" ht="24">
      <c r="A31" s="18" t="s">
        <v>40</v>
      </c>
      <c r="B31" s="31" t="s">
        <v>41</v>
      </c>
      <c r="C31" s="15">
        <f>1367276/1.95583</f>
        <v>699077.1181544409</v>
      </c>
      <c r="D31" s="39">
        <f>1564892.77/1.95583</f>
        <v>800116.9682436613</v>
      </c>
      <c r="E31" s="39">
        <f>1685191.87/1.95583</f>
        <v>861624.9213888734</v>
      </c>
      <c r="F31" s="39">
        <f>(1940899.38+0)/1.95583</f>
        <v>992366.0952127741</v>
      </c>
      <c r="G31" s="39">
        <v>1133998.65</v>
      </c>
      <c r="H31" s="39">
        <v>964541.39</v>
      </c>
      <c r="I31" s="39">
        <v>1054342.56</v>
      </c>
      <c r="J31" s="174">
        <v>870</v>
      </c>
      <c r="K31" s="174">
        <v>938</v>
      </c>
      <c r="L31" s="174">
        <v>1100</v>
      </c>
      <c r="M31" s="39">
        <v>2168055</v>
      </c>
      <c r="N31" s="39">
        <v>839900</v>
      </c>
      <c r="O31" s="39">
        <v>991700</v>
      </c>
    </row>
    <row r="32" spans="1:15" ht="12.75">
      <c r="A32" s="18"/>
      <c r="B32" s="31"/>
      <c r="C32" s="15"/>
      <c r="D32" s="39"/>
      <c r="E32" s="39"/>
      <c r="F32" s="39"/>
      <c r="G32" s="39"/>
      <c r="H32" s="39"/>
      <c r="I32" s="39"/>
      <c r="J32" s="174"/>
      <c r="K32" s="174"/>
      <c r="L32" s="174"/>
      <c r="M32" s="39"/>
      <c r="N32" s="39"/>
      <c r="O32" s="39"/>
    </row>
    <row r="33" spans="1:15" ht="12.75">
      <c r="A33" s="18" t="s">
        <v>42</v>
      </c>
      <c r="B33" s="33" t="s">
        <v>43</v>
      </c>
      <c r="C33" s="15">
        <f>395321/1.95583</f>
        <v>202124.4177663703</v>
      </c>
      <c r="D33" s="39">
        <f>1626990.38/1.95583</f>
        <v>831866.9720783504</v>
      </c>
      <c r="E33" s="39">
        <f>1626990.38/1.95583</f>
        <v>831866.9720783504</v>
      </c>
      <c r="F33" s="39">
        <f>1626990.38/1.95583</f>
        <v>831866.9720783504</v>
      </c>
      <c r="G33" s="39">
        <v>664321.45</v>
      </c>
      <c r="H33" s="39">
        <v>0</v>
      </c>
      <c r="I33" s="39">
        <v>0</v>
      </c>
      <c r="J33" s="174">
        <v>0</v>
      </c>
      <c r="K33" s="174">
        <v>0</v>
      </c>
      <c r="L33" s="174">
        <v>0</v>
      </c>
      <c r="M33" s="39">
        <v>0</v>
      </c>
      <c r="N33" s="39">
        <v>0</v>
      </c>
      <c r="O33" s="39">
        <v>0</v>
      </c>
    </row>
    <row r="34" spans="1:15" ht="12.75">
      <c r="A34" s="18"/>
      <c r="B34" s="33"/>
      <c r="C34" s="15"/>
      <c r="D34" s="39"/>
      <c r="E34" s="39"/>
      <c r="F34" s="39"/>
      <c r="G34" s="39"/>
      <c r="H34" s="39"/>
      <c r="I34" s="39"/>
      <c r="J34" s="174"/>
      <c r="K34" s="174"/>
      <c r="L34" s="174"/>
      <c r="M34" s="39"/>
      <c r="N34" s="39"/>
      <c r="O34" s="39"/>
    </row>
    <row r="35" spans="1:15" ht="12.75">
      <c r="A35" s="18" t="s">
        <v>44</v>
      </c>
      <c r="B35" s="33" t="s">
        <v>45</v>
      </c>
      <c r="C35" s="15">
        <f>(7739623+6933098)/1.95583</f>
        <v>7502043.12235726</v>
      </c>
      <c r="D35" s="39">
        <f>(6517989.6+5159064.54)/1.95583</f>
        <v>5970382.978070691</v>
      </c>
      <c r="E35" s="39">
        <f>(6564435.02+4482732.82)/1.95583</f>
        <v>5648327.226803966</v>
      </c>
      <c r="F35" s="39">
        <f>(5278726.72+4371786.04)/1.95583</f>
        <v>4934228.823568511</v>
      </c>
      <c r="G35" s="39">
        <v>5462917.95</v>
      </c>
      <c r="H35" s="39">
        <f>2683517.18+2647590.83</f>
        <v>5331108.01</v>
      </c>
      <c r="I35" s="39">
        <v>5436875.6</v>
      </c>
      <c r="J35" s="174">
        <v>5482</v>
      </c>
      <c r="K35" s="174">
        <v>5338</v>
      </c>
      <c r="L35" s="174">
        <v>5790</v>
      </c>
      <c r="M35" s="39">
        <v>6499457</v>
      </c>
      <c r="N35" s="39">
        <v>6799000</v>
      </c>
      <c r="O35" s="39">
        <v>6835000</v>
      </c>
    </row>
    <row r="36" spans="1:15" ht="12.75">
      <c r="A36" s="18"/>
      <c r="B36" s="33"/>
      <c r="C36" s="15"/>
      <c r="D36" s="39"/>
      <c r="E36" s="39"/>
      <c r="F36" s="39"/>
      <c r="G36" s="39"/>
      <c r="H36" s="39"/>
      <c r="I36" s="39"/>
      <c r="J36" s="174"/>
      <c r="K36" s="174"/>
      <c r="L36" s="174"/>
      <c r="M36" s="39"/>
      <c r="N36" s="39"/>
      <c r="O36" s="39"/>
    </row>
    <row r="37" spans="1:15" ht="12.75">
      <c r="A37" s="20" t="s">
        <v>46</v>
      </c>
      <c r="B37" s="34" t="s">
        <v>47</v>
      </c>
      <c r="C37" s="15">
        <f>2073467/1.95583</f>
        <v>1060146.8430282795</v>
      </c>
      <c r="D37" s="39">
        <f>1725729.2/1.95583</f>
        <v>882351.3291032452</v>
      </c>
      <c r="E37" s="39">
        <f>2545893.56/1.95583</f>
        <v>1301694.7076177378</v>
      </c>
      <c r="F37" s="39">
        <f>1392551.44/1.95583</f>
        <v>712000.245420103</v>
      </c>
      <c r="G37" s="39">
        <v>1600780.99</v>
      </c>
      <c r="H37" s="39">
        <f>1020467.16+87530.98+1939.01+153.75</f>
        <v>1110090.9000000001</v>
      </c>
      <c r="I37" s="39">
        <v>1115941.91</v>
      </c>
      <c r="J37" s="174">
        <v>1566</v>
      </c>
      <c r="K37" s="174">
        <v>1605</v>
      </c>
      <c r="L37" s="174">
        <v>1857</v>
      </c>
      <c r="M37" s="39">
        <v>1695023</v>
      </c>
      <c r="N37" s="39">
        <v>2314500</v>
      </c>
      <c r="O37" s="39">
        <v>2312300</v>
      </c>
    </row>
    <row r="38" spans="1:15" ht="12.75">
      <c r="A38" s="22"/>
      <c r="B38" s="35"/>
      <c r="C38" s="15"/>
      <c r="D38" s="39"/>
      <c r="E38" s="39"/>
      <c r="F38" s="39"/>
      <c r="G38" s="39"/>
      <c r="H38" s="39"/>
      <c r="I38" s="39"/>
      <c r="J38" s="174"/>
      <c r="K38" s="174"/>
      <c r="L38" s="174"/>
      <c r="M38" s="39"/>
      <c r="N38" s="39"/>
      <c r="O38" s="39"/>
    </row>
    <row r="39" spans="1:15" ht="24">
      <c r="A39" s="18" t="s">
        <v>48</v>
      </c>
      <c r="B39" s="31" t="s">
        <v>49</v>
      </c>
      <c r="C39" s="15">
        <f>792163/1.95583</f>
        <v>405026.51048404</v>
      </c>
      <c r="D39" s="39">
        <f>731225.8/1.95583</f>
        <v>373869.81486120983</v>
      </c>
      <c r="E39" s="39">
        <f>485867.15/1.95583</f>
        <v>248419.9291349453</v>
      </c>
      <c r="F39" s="39">
        <f>624249.96/1.95583</f>
        <v>319173.93638506415</v>
      </c>
      <c r="G39" s="39">
        <v>319142.89</v>
      </c>
      <c r="H39" s="39">
        <f>191191.72+162198.14</f>
        <v>353389.86</v>
      </c>
      <c r="I39" s="39">
        <v>288385.3</v>
      </c>
      <c r="J39" s="174">
        <v>219</v>
      </c>
      <c r="K39" s="174">
        <v>261</v>
      </c>
      <c r="L39" s="174">
        <v>245</v>
      </c>
      <c r="M39" s="39">
        <v>196393</v>
      </c>
      <c r="N39" s="39">
        <v>92800</v>
      </c>
      <c r="O39" s="39">
        <v>92800</v>
      </c>
    </row>
    <row r="40" spans="1:15" ht="12.75">
      <c r="A40" s="23"/>
      <c r="B40" s="36"/>
      <c r="C40" s="24"/>
      <c r="D40" s="45"/>
      <c r="E40" s="45"/>
      <c r="F40" s="45"/>
      <c r="G40" s="160"/>
      <c r="H40" s="160"/>
      <c r="I40" s="160"/>
      <c r="J40" s="177"/>
      <c r="K40" s="177"/>
      <c r="L40" s="45"/>
      <c r="M40" s="44"/>
      <c r="N40" s="44"/>
      <c r="O40" s="44"/>
    </row>
    <row r="41" spans="1:15" ht="12.75">
      <c r="A41" s="23"/>
      <c r="B41" s="37" t="s">
        <v>50</v>
      </c>
      <c r="C41" s="26">
        <f aca="true" t="shared" si="0" ref="C41:H41">SUM(C9:C39)</f>
        <v>95444832.6286027</v>
      </c>
      <c r="D41" s="43">
        <f t="shared" si="0"/>
        <v>98288159.14982386</v>
      </c>
      <c r="E41" s="43">
        <f t="shared" si="0"/>
        <v>103727292.91911876</v>
      </c>
      <c r="F41" s="43">
        <f t="shared" si="0"/>
        <v>105082049.13514979</v>
      </c>
      <c r="G41" s="43">
        <f>SUM(G9:G39)</f>
        <v>110404301.35000001</v>
      </c>
      <c r="H41" s="43">
        <f t="shared" si="0"/>
        <v>107647647.76000002</v>
      </c>
      <c r="I41" s="43">
        <f>SUM(I9:I39)</f>
        <v>111358598.6</v>
      </c>
      <c r="J41" s="46">
        <f>SUM(J9:J39)</f>
        <v>152987</v>
      </c>
      <c r="K41" s="46">
        <f>SUM(K9:K39)</f>
        <v>169941</v>
      </c>
      <c r="L41" s="46">
        <f>SUM(L9:L40)</f>
        <v>183596</v>
      </c>
      <c r="M41" s="43">
        <f>SUM(M8:M40)</f>
        <v>184554313</v>
      </c>
      <c r="N41" s="43">
        <f>SUM(N8:N40)</f>
        <v>189049200</v>
      </c>
      <c r="O41" s="43">
        <f>SUM(O8:O40)</f>
        <v>188608300</v>
      </c>
    </row>
    <row r="42" spans="1:15" ht="12.75">
      <c r="A42" s="23"/>
      <c r="B42" s="37"/>
      <c r="C42" s="27"/>
      <c r="D42" s="46"/>
      <c r="E42" s="46"/>
      <c r="F42" s="46"/>
      <c r="G42" s="160"/>
      <c r="H42" s="160"/>
      <c r="I42" s="160"/>
      <c r="J42" s="177"/>
      <c r="K42" s="177"/>
      <c r="L42" s="45"/>
      <c r="M42" s="44"/>
      <c r="N42" s="44"/>
      <c r="O42" s="44"/>
    </row>
    <row r="43" spans="1:15" ht="12.75">
      <c r="A43" s="18">
        <v>28</v>
      </c>
      <c r="B43" s="33" t="s">
        <v>51</v>
      </c>
      <c r="C43" s="15">
        <v>0</v>
      </c>
      <c r="D43" s="39">
        <f>2036070.38/1.95583</f>
        <v>1041026.2548380994</v>
      </c>
      <c r="E43" s="39">
        <f>2036070.38/1.95583</f>
        <v>1041026.2548380994</v>
      </c>
      <c r="F43" s="39">
        <f>1894806.58/1.95583</f>
        <v>968799.2207911732</v>
      </c>
      <c r="G43" s="39">
        <v>664321.45</v>
      </c>
      <c r="H43" s="39">
        <v>0</v>
      </c>
      <c r="I43" s="39">
        <v>0</v>
      </c>
      <c r="J43" s="174">
        <v>0</v>
      </c>
      <c r="K43" s="174">
        <v>0</v>
      </c>
      <c r="L43" s="174">
        <v>0</v>
      </c>
      <c r="M43" s="39">
        <v>0</v>
      </c>
      <c r="N43" s="39"/>
      <c r="O43" s="39"/>
    </row>
    <row r="44" spans="1:15" ht="12.75">
      <c r="A44" s="18"/>
      <c r="B44" s="33" t="s">
        <v>52</v>
      </c>
      <c r="C44" s="15"/>
      <c r="D44" s="39"/>
      <c r="E44" s="39"/>
      <c r="F44" s="39"/>
      <c r="G44" s="39"/>
      <c r="H44" s="39"/>
      <c r="I44" s="39"/>
      <c r="J44" s="174"/>
      <c r="K44" s="174"/>
      <c r="L44" s="174"/>
      <c r="M44" s="39"/>
      <c r="N44" s="39"/>
      <c r="O44" s="39"/>
    </row>
    <row r="45" spans="1:15" ht="12.75">
      <c r="A45" s="18">
        <v>29</v>
      </c>
      <c r="B45" s="31" t="s">
        <v>53</v>
      </c>
      <c r="C45" s="15">
        <f>-3500000/1.95583</f>
        <v>-1789521.5841867647</v>
      </c>
      <c r="D45" s="39">
        <f>-3000000/1.95583</f>
        <v>-1533875.6435886554</v>
      </c>
      <c r="E45" s="39">
        <v>0</v>
      </c>
      <c r="F45" s="39">
        <f>-635000/1.95583</f>
        <v>-324670.3445595988</v>
      </c>
      <c r="G45" s="39">
        <v>-510070</v>
      </c>
      <c r="H45" s="39">
        <v>-469000</v>
      </c>
      <c r="I45" s="39">
        <v>48000</v>
      </c>
      <c r="J45" s="174">
        <v>-1480</v>
      </c>
      <c r="K45" s="174">
        <v>172</v>
      </c>
      <c r="L45" s="174">
        <v>-579</v>
      </c>
      <c r="M45" s="39">
        <v>-491000</v>
      </c>
      <c r="N45" s="39">
        <v>0</v>
      </c>
      <c r="O45" s="39">
        <v>0</v>
      </c>
    </row>
    <row r="46" spans="1:15" ht="12.75">
      <c r="A46" s="18"/>
      <c r="B46" s="31"/>
      <c r="C46" s="16"/>
      <c r="D46" s="128"/>
      <c r="E46" s="161"/>
      <c r="F46" s="161"/>
      <c r="G46" s="144"/>
      <c r="H46" s="144"/>
      <c r="I46" s="144"/>
      <c r="J46" s="161"/>
      <c r="K46" s="161"/>
      <c r="L46" s="174"/>
      <c r="M46" s="39"/>
      <c r="N46" s="39"/>
      <c r="O46" s="39"/>
    </row>
    <row r="47" spans="1:15" ht="12.75">
      <c r="A47" s="23"/>
      <c r="B47" s="36"/>
      <c r="C47" s="25"/>
      <c r="D47" s="90"/>
      <c r="E47" s="162"/>
      <c r="F47" s="162"/>
      <c r="G47" s="160"/>
      <c r="H47" s="160"/>
      <c r="I47" s="160"/>
      <c r="J47" s="177"/>
      <c r="K47" s="177"/>
      <c r="L47" s="45"/>
      <c r="M47" s="44"/>
      <c r="N47" s="44"/>
      <c r="O47" s="44"/>
    </row>
    <row r="48" spans="1:15" ht="12.75">
      <c r="A48" s="29" t="s">
        <v>54</v>
      </c>
      <c r="B48" s="37" t="s">
        <v>55</v>
      </c>
      <c r="C48" s="26">
        <f>SUM(C41:C45)-2</f>
        <v>93655309.04441594</v>
      </c>
      <c r="D48" s="43">
        <f>SUM(D41:D45)</f>
        <v>97795309.76107329</v>
      </c>
      <c r="E48" s="43">
        <f>SUM(E41:E45)</f>
        <v>104768319.17395686</v>
      </c>
      <c r="F48" s="43">
        <f>SUM(F41:F45)</f>
        <v>105726178.01138137</v>
      </c>
      <c r="G48" s="43">
        <f>SUM(G41:G45)+1000</f>
        <v>110559552.80000001</v>
      </c>
      <c r="H48" s="43">
        <f>SUM(H41:H45)</f>
        <v>107178647.76000002</v>
      </c>
      <c r="I48" s="43">
        <f>SUM(I41:I45)</f>
        <v>111406598.6</v>
      </c>
      <c r="J48" s="46">
        <f>SUM(J41:J45)</f>
        <v>151507</v>
      </c>
      <c r="K48" s="46">
        <f>SUM(K41:K45)</f>
        <v>170113</v>
      </c>
      <c r="L48" s="46">
        <f>SUM(L41:L47)</f>
        <v>183017</v>
      </c>
      <c r="M48" s="43">
        <f>SUM(M41:M47)</f>
        <v>184063313</v>
      </c>
      <c r="N48" s="43">
        <f>SUM(N41:N47)</f>
        <v>189049200</v>
      </c>
      <c r="O48" s="43">
        <f>SUM(O41:O47)</f>
        <v>188608300</v>
      </c>
    </row>
    <row r="49" spans="1:15" ht="12.75">
      <c r="A49" s="29"/>
      <c r="B49" s="37"/>
      <c r="C49" s="43"/>
      <c r="D49" s="27"/>
      <c r="E49" s="46"/>
      <c r="F49" s="163"/>
      <c r="G49" s="46"/>
      <c r="H49" s="46"/>
      <c r="I49" s="46"/>
      <c r="J49" s="46"/>
      <c r="K49" s="46"/>
      <c r="L49" s="45"/>
      <c r="M49" s="44"/>
      <c r="N49" s="44"/>
      <c r="O49" s="44"/>
    </row>
    <row r="50" spans="1:12" ht="12.75">
      <c r="A50" s="116"/>
      <c r="L50" s="172"/>
    </row>
    <row r="51" ht="12.75">
      <c r="A51" s="116"/>
    </row>
    <row r="52" ht="12.75">
      <c r="A52" s="116"/>
    </row>
    <row r="53" ht="12.75">
      <c r="A53" s="116"/>
    </row>
    <row r="54" ht="12.75">
      <c r="A54" s="116"/>
    </row>
    <row r="55" ht="12.75">
      <c r="A55" s="116"/>
    </row>
    <row r="56" ht="12.75">
      <c r="A56" s="116"/>
    </row>
    <row r="57" ht="12.75">
      <c r="A57" s="116"/>
    </row>
    <row r="58" ht="12.75">
      <c r="A58" s="116"/>
    </row>
  </sheetData>
  <printOptions horizontalCentered="1"/>
  <pageMargins left="0.1968503937007874" right="0.2362204724409449" top="1.3779527559055118" bottom="0.7874015748031497" header="0.5118110236220472" footer="0.5118110236220472"/>
  <pageSetup fitToHeight="4" horizontalDpi="300" verticalDpi="300" orientation="portrait" paperSize="9" r:id="rId1"/>
  <headerFooter alignWithMargins="0">
    <oddHeader>&amp;C&amp;"Arial,Fett"&amp;14Seite V 11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3">
      <pane xSplit="5" ySplit="3" topLeftCell="F6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Q29" sqref="Q29"/>
    </sheetView>
  </sheetViews>
  <sheetFormatPr defaultColWidth="11.421875" defaultRowHeight="12.75"/>
  <cols>
    <col min="1" max="1" width="5.57421875" style="116" customWidth="1"/>
    <col min="2" max="2" width="22.28125" style="116" bestFit="1" customWidth="1"/>
    <col min="3" max="7" width="7.421875" style="116" hidden="1" customWidth="1"/>
    <col min="8" max="10" width="7.421875" style="116" customWidth="1"/>
    <col min="11" max="12" width="7.421875" style="116" bestFit="1" customWidth="1"/>
    <col min="13" max="14" width="7.421875" style="116" customWidth="1"/>
    <col min="15" max="15" width="7.421875" style="116" bestFit="1" customWidth="1"/>
    <col min="16" max="16" width="7.421875" style="116" customWidth="1"/>
    <col min="17" max="16384" width="11.421875" style="116" customWidth="1"/>
  </cols>
  <sheetData>
    <row r="1" spans="1:12" ht="15">
      <c r="A1" s="105" t="s">
        <v>56</v>
      </c>
      <c r="B1" s="101"/>
      <c r="C1" s="1"/>
      <c r="D1" s="1"/>
      <c r="E1" s="1"/>
      <c r="G1" s="96"/>
      <c r="H1" s="96"/>
      <c r="I1" s="96"/>
      <c r="J1" s="96"/>
      <c r="K1" s="96"/>
      <c r="L1" s="96"/>
    </row>
    <row r="2" spans="1:12" ht="15">
      <c r="A2" s="10"/>
      <c r="B2" s="1"/>
      <c r="C2" s="1"/>
      <c r="D2" s="1"/>
      <c r="E2" s="1"/>
      <c r="G2" s="96"/>
      <c r="H2" s="96"/>
      <c r="I2" s="96"/>
      <c r="J2" s="96"/>
      <c r="K2" s="96"/>
      <c r="L2" s="96"/>
    </row>
    <row r="3" spans="1:16" ht="15">
      <c r="A3" s="58"/>
      <c r="B3" s="92"/>
      <c r="C3" s="91" t="s">
        <v>18</v>
      </c>
      <c r="D3" s="91" t="s">
        <v>18</v>
      </c>
      <c r="E3" s="91" t="s">
        <v>18</v>
      </c>
      <c r="F3" s="91" t="s">
        <v>18</v>
      </c>
      <c r="G3" s="91" t="s">
        <v>18</v>
      </c>
      <c r="H3" s="91" t="s">
        <v>18</v>
      </c>
      <c r="I3" s="91" t="s">
        <v>18</v>
      </c>
      <c r="J3" s="91" t="s">
        <v>18</v>
      </c>
      <c r="K3" s="91" t="s">
        <v>219</v>
      </c>
      <c r="L3" s="91" t="s">
        <v>18</v>
      </c>
      <c r="M3" s="91" t="s">
        <v>18</v>
      </c>
      <c r="N3" s="91" t="s">
        <v>18</v>
      </c>
      <c r="O3" s="91" t="s">
        <v>19</v>
      </c>
      <c r="P3" s="91" t="s">
        <v>19</v>
      </c>
    </row>
    <row r="4" spans="1:16" ht="12.75">
      <c r="A4" s="11" t="s">
        <v>20</v>
      </c>
      <c r="B4" s="30" t="s">
        <v>21</v>
      </c>
      <c r="C4" s="30">
        <v>1996</v>
      </c>
      <c r="D4" s="12">
        <v>1997</v>
      </c>
      <c r="E4" s="30">
        <v>1998</v>
      </c>
      <c r="F4" s="13">
        <v>1999</v>
      </c>
      <c r="G4" s="13">
        <v>2000</v>
      </c>
      <c r="H4" s="30">
        <v>2002</v>
      </c>
      <c r="I4" s="30">
        <v>2003</v>
      </c>
      <c r="J4" s="30">
        <v>2004</v>
      </c>
      <c r="K4" s="30">
        <v>2005</v>
      </c>
      <c r="L4" s="30">
        <v>2006</v>
      </c>
      <c r="M4" s="30">
        <v>2007</v>
      </c>
      <c r="N4" s="211">
        <v>2008</v>
      </c>
      <c r="O4" s="211">
        <v>2009</v>
      </c>
      <c r="P4" s="211">
        <v>2010</v>
      </c>
    </row>
    <row r="5" spans="1:16" ht="12.75">
      <c r="A5" s="11"/>
      <c r="B5" s="30" t="s">
        <v>0</v>
      </c>
      <c r="C5" s="38" t="s">
        <v>192</v>
      </c>
      <c r="D5" s="38" t="s">
        <v>198</v>
      </c>
      <c r="E5" s="38" t="s">
        <v>198</v>
      </c>
      <c r="F5" s="38" t="s">
        <v>198</v>
      </c>
      <c r="G5" s="38" t="s">
        <v>198</v>
      </c>
      <c r="H5" s="38" t="s">
        <v>198</v>
      </c>
      <c r="I5" s="38" t="s">
        <v>198</v>
      </c>
      <c r="J5" s="38" t="s">
        <v>198</v>
      </c>
      <c r="K5" s="38" t="s">
        <v>198</v>
      </c>
      <c r="L5" s="38" t="s">
        <v>198</v>
      </c>
      <c r="M5" s="38" t="s">
        <v>198</v>
      </c>
      <c r="N5" s="212" t="s">
        <v>198</v>
      </c>
      <c r="O5" s="212" t="s">
        <v>198</v>
      </c>
      <c r="P5" s="212" t="s">
        <v>198</v>
      </c>
    </row>
    <row r="6" spans="1:16" ht="14.25">
      <c r="A6" s="47"/>
      <c r="B6" s="51"/>
      <c r="C6" s="9"/>
      <c r="D6" s="51"/>
      <c r="E6" s="9"/>
      <c r="F6" s="128"/>
      <c r="G6" s="161"/>
      <c r="H6" s="161"/>
      <c r="I6" s="161"/>
      <c r="J6" s="161"/>
      <c r="K6" s="161"/>
      <c r="L6" s="161"/>
      <c r="M6" s="128"/>
      <c r="N6" s="128"/>
      <c r="O6" s="128"/>
      <c r="P6" s="128"/>
    </row>
    <row r="7" spans="1:16" ht="12.75">
      <c r="A7" s="89">
        <v>4</v>
      </c>
      <c r="B7" s="36" t="s">
        <v>57</v>
      </c>
      <c r="C7" s="42">
        <f>40293619/1.95583</f>
        <v>20601800.258713692</v>
      </c>
      <c r="D7" s="28">
        <f>38036109/1.95583</f>
        <v>19447553.72399442</v>
      </c>
      <c r="E7" s="44">
        <f>39418701.01/1.95583</f>
        <v>20154461.793714177</v>
      </c>
      <c r="F7" s="44">
        <f>40110746.67/1.95583</f>
        <v>20508299.121089257</v>
      </c>
      <c r="G7" s="44">
        <f>40845139.54/1.95583</f>
        <v>20883788.233128645</v>
      </c>
      <c r="H7" s="113">
        <v>22590991</v>
      </c>
      <c r="I7" s="113">
        <v>22914226.57</v>
      </c>
      <c r="J7" s="113">
        <v>20914012.03</v>
      </c>
      <c r="K7" s="178">
        <v>23463</v>
      </c>
      <c r="L7" s="178">
        <v>23592</v>
      </c>
      <c r="M7" s="45">
        <v>24322</v>
      </c>
      <c r="N7" s="44">
        <v>26061875</v>
      </c>
      <c r="O7" s="44">
        <v>27161500</v>
      </c>
      <c r="P7" s="44">
        <v>29888700</v>
      </c>
    </row>
    <row r="8" spans="1:16" ht="12.75">
      <c r="A8" s="17"/>
      <c r="B8" s="32"/>
      <c r="C8" s="40"/>
      <c r="D8" s="15"/>
      <c r="E8" s="39"/>
      <c r="F8" s="39" t="s">
        <v>0</v>
      </c>
      <c r="G8" s="39" t="s">
        <v>0</v>
      </c>
      <c r="H8" s="114"/>
      <c r="I8" s="114"/>
      <c r="J8" s="114"/>
      <c r="K8" s="179"/>
      <c r="L8" s="179"/>
      <c r="M8" s="128"/>
      <c r="N8" s="39"/>
      <c r="O8" s="39"/>
      <c r="P8" s="39"/>
    </row>
    <row r="9" spans="1:16" ht="25.5" customHeight="1">
      <c r="A9" s="18" t="s">
        <v>58</v>
      </c>
      <c r="B9" s="31" t="s">
        <v>59</v>
      </c>
      <c r="C9" s="40">
        <f>3564876/1.95583</f>
        <v>1822692.1562712507</v>
      </c>
      <c r="D9" s="15">
        <f>(2413854+708433)/1.95583</f>
        <v>1596399.9938644974</v>
      </c>
      <c r="E9" s="39">
        <f>(2837621.21+642773.64)/1.95583</f>
        <v>1779497.6301621308</v>
      </c>
      <c r="F9" s="65">
        <f>(2666124.16+962788.84)/1.95583</f>
        <v>1855433.7544674128</v>
      </c>
      <c r="G9" s="65">
        <f>(2483426.52+756059.06)/1.95583</f>
        <v>1656322.676306223</v>
      </c>
      <c r="H9" s="65">
        <f>1056524.76+528916.27</f>
        <v>1585441.03</v>
      </c>
      <c r="I9" s="65">
        <f>923827.38+649706.19</f>
        <v>1573533.5699999998</v>
      </c>
      <c r="J9" s="65">
        <v>607704.07</v>
      </c>
      <c r="K9" s="179">
        <v>722</v>
      </c>
      <c r="L9" s="179">
        <v>661</v>
      </c>
      <c r="M9" s="32">
        <v>546</v>
      </c>
      <c r="N9" s="39">
        <v>523379</v>
      </c>
      <c r="O9" s="39">
        <v>567900</v>
      </c>
      <c r="P9" s="39">
        <v>565800</v>
      </c>
    </row>
    <row r="10" spans="1:16" ht="24">
      <c r="A10" s="18" t="s">
        <v>60</v>
      </c>
      <c r="B10" s="31" t="s">
        <v>61</v>
      </c>
      <c r="C10" s="40">
        <f>1059855/1.95583</f>
        <v>541895.2567452182</v>
      </c>
      <c r="D10" s="15">
        <f>1100030/1.95583</f>
        <v>562436.4080722763</v>
      </c>
      <c r="E10" s="39">
        <f>1033963.76/1.95583</f>
        <v>528657.2759391153</v>
      </c>
      <c r="F10" s="65">
        <f>1127161.6/1.95583</f>
        <v>576308.5748761396</v>
      </c>
      <c r="G10" s="65">
        <f>1433977.4/1.95583</f>
        <v>733181.0024388622</v>
      </c>
      <c r="H10" s="65">
        <v>603719.55</v>
      </c>
      <c r="I10" s="65">
        <v>592533.51</v>
      </c>
      <c r="J10" s="65">
        <v>776096.06</v>
      </c>
      <c r="K10" s="179">
        <v>756</v>
      </c>
      <c r="L10" s="179">
        <v>669</v>
      </c>
      <c r="M10" s="32">
        <v>689</v>
      </c>
      <c r="N10" s="39">
        <v>754316</v>
      </c>
      <c r="O10" s="39">
        <v>740500</v>
      </c>
      <c r="P10" s="39">
        <v>891200</v>
      </c>
    </row>
    <row r="11" spans="1:16" ht="12.75">
      <c r="A11" s="18" t="s">
        <v>62</v>
      </c>
      <c r="B11" s="33" t="s">
        <v>63</v>
      </c>
      <c r="C11" s="40">
        <f>922670/1.95583</f>
        <v>471753.6800233149</v>
      </c>
      <c r="D11" s="19">
        <f>1186382/1.95583</f>
        <v>606587.4845973321</v>
      </c>
      <c r="E11" s="40">
        <f>979167.1/1.95583</f>
        <v>500640.18856444577</v>
      </c>
      <c r="F11" s="65">
        <f>887106.64/1.95583</f>
        <v>453570.4227872566</v>
      </c>
      <c r="G11" s="65">
        <f>891044.76/1.95583</f>
        <v>455583.95157043304</v>
      </c>
      <c r="H11" s="65">
        <v>540289.08</v>
      </c>
      <c r="I11" s="65">
        <v>639912.57</v>
      </c>
      <c r="J11" s="65">
        <v>369116.24</v>
      </c>
      <c r="K11" s="179">
        <v>541</v>
      </c>
      <c r="L11" s="179">
        <v>498</v>
      </c>
      <c r="M11" s="32">
        <v>484</v>
      </c>
      <c r="N11" s="39">
        <v>518280</v>
      </c>
      <c r="O11" s="39">
        <v>513300</v>
      </c>
      <c r="P11" s="39">
        <v>421400</v>
      </c>
    </row>
    <row r="12" spans="1:16" ht="36">
      <c r="A12" s="18" t="s">
        <v>64</v>
      </c>
      <c r="B12" s="31" t="s">
        <v>65</v>
      </c>
      <c r="C12" s="40">
        <f>4477392/1.95583</f>
        <v>2289254.1785328994</v>
      </c>
      <c r="D12" s="19">
        <f>4803721/1.95583</f>
        <v>2456103.54683178</v>
      </c>
      <c r="E12" s="40">
        <f>4930253.02/1.95583</f>
        <v>2520798.341369137</v>
      </c>
      <c r="F12" s="65">
        <f>4763168.33/1.95583</f>
        <v>2435369.2958999504</v>
      </c>
      <c r="G12" s="65">
        <f>4765564.27/1.95583</f>
        <v>2436594.3205697834</v>
      </c>
      <c r="H12" s="65">
        <v>2937114.4</v>
      </c>
      <c r="I12" s="65">
        <v>3102764.42</v>
      </c>
      <c r="J12" s="65">
        <v>7111.68</v>
      </c>
      <c r="K12" s="179">
        <v>8</v>
      </c>
      <c r="L12" s="179">
        <v>8</v>
      </c>
      <c r="M12" s="32">
        <v>12</v>
      </c>
      <c r="N12" s="39">
        <v>11400</v>
      </c>
      <c r="O12" s="39">
        <v>11700</v>
      </c>
      <c r="P12" s="39">
        <v>11600</v>
      </c>
    </row>
    <row r="13" spans="1:16" ht="12.75">
      <c r="A13" s="18" t="s">
        <v>66</v>
      </c>
      <c r="B13" s="31" t="s">
        <v>67</v>
      </c>
      <c r="C13" s="40">
        <f>168347/1.95583</f>
        <v>86074.45432373979</v>
      </c>
      <c r="D13" s="19">
        <f>231721/1.95583</f>
        <v>118477.06600266894</v>
      </c>
      <c r="E13" s="40">
        <f>236074.52/1.95583</f>
        <v>120702.9854332943</v>
      </c>
      <c r="F13" s="65">
        <f>226607.44/1.95583</f>
        <v>115862.5442906592</v>
      </c>
      <c r="G13" s="65">
        <f>247535.18/1.95583</f>
        <v>126562.72784444455</v>
      </c>
      <c r="H13" s="65">
        <v>147516.26</v>
      </c>
      <c r="I13" s="65">
        <v>155346.16</v>
      </c>
      <c r="J13" s="65">
        <v>163259.61</v>
      </c>
      <c r="K13" s="179">
        <v>166</v>
      </c>
      <c r="L13" s="179">
        <v>160</v>
      </c>
      <c r="M13" s="32">
        <v>166</v>
      </c>
      <c r="N13" s="39">
        <v>172877</v>
      </c>
      <c r="O13" s="39">
        <v>143600</v>
      </c>
      <c r="P13" s="39">
        <v>141800</v>
      </c>
    </row>
    <row r="14" spans="1:16" ht="24">
      <c r="A14" s="18" t="s">
        <v>68</v>
      </c>
      <c r="B14" s="31" t="s">
        <v>69</v>
      </c>
      <c r="C14" s="40">
        <f>6171156/1.95583</f>
        <v>3155261.960395331</v>
      </c>
      <c r="D14" s="19">
        <f>(252855+664403+5171540)/1.95583</f>
        <v>3113152.983643773</v>
      </c>
      <c r="E14" s="40">
        <f>(320150.23+1271119.34+5049072.37)/1.95583</f>
        <v>3395152.922288747</v>
      </c>
      <c r="F14" s="65">
        <f>(205061.76+979980.94+6607919.71)/1.95583</f>
        <v>3984478.4107003165</v>
      </c>
      <c r="G14" s="65">
        <f>(269420.85+540157.47+16829.5+0+39657.83+0+157452.35+6999052.37)/1.95583</f>
        <v>4101875.0965063428</v>
      </c>
      <c r="H14" s="65">
        <f>150620.36+868863.51+3967469.38</f>
        <v>4986953.25</v>
      </c>
      <c r="I14" s="65">
        <f>151527.59+647591.75+4386988.11</f>
        <v>5186107.45</v>
      </c>
      <c r="J14" s="65">
        <f>818006.59+4772986.89</f>
        <v>5590993.4799999995</v>
      </c>
      <c r="K14" s="179">
        <v>5913</v>
      </c>
      <c r="L14" s="179">
        <v>5911</v>
      </c>
      <c r="M14" s="174">
        <v>6609</v>
      </c>
      <c r="N14" s="39">
        <v>7004213</v>
      </c>
      <c r="O14" s="39">
        <v>6418600</v>
      </c>
      <c r="P14" s="39">
        <v>6859900</v>
      </c>
    </row>
    <row r="15" spans="1:16" ht="12.75">
      <c r="A15" s="18" t="s">
        <v>70</v>
      </c>
      <c r="B15" s="31" t="s">
        <v>71</v>
      </c>
      <c r="C15" s="40">
        <f>3592602/1.95583</f>
        <v>1836868.234969297</v>
      </c>
      <c r="D15" s="19">
        <f>(1070673+2711998+144772)/1.95583</f>
        <v>2008069.71976092</v>
      </c>
      <c r="E15" s="40">
        <f>(1080095.16+2403924.93+207952.86)/1.95583</f>
        <v>1887675.7949310523</v>
      </c>
      <c r="F15" s="65">
        <f>(985717.01+2514668.11+208457.53)/1.95583</f>
        <v>1896301.1355792682</v>
      </c>
      <c r="G15" s="65">
        <f>(1101924.79+2696626.67+216723.08)/1.95583</f>
        <v>2052977.273075881</v>
      </c>
      <c r="H15" s="65">
        <f>573154.39+1407696.07+3597.1+144930.6</f>
        <v>2129378.16</v>
      </c>
      <c r="I15" s="65">
        <f>597295.38+1512875.48+3238.77+162749.07</f>
        <v>2276158.6999999997</v>
      </c>
      <c r="J15" s="65">
        <v>2212590.35</v>
      </c>
      <c r="K15" s="179">
        <v>2060</v>
      </c>
      <c r="L15" s="179">
        <v>2812</v>
      </c>
      <c r="M15" s="174">
        <v>2070</v>
      </c>
      <c r="N15" s="39">
        <v>2364801</v>
      </c>
      <c r="O15" s="39">
        <v>2403000</v>
      </c>
      <c r="P15" s="39">
        <v>2388900</v>
      </c>
    </row>
    <row r="16" spans="1:16" ht="15" customHeight="1">
      <c r="A16" s="102"/>
      <c r="B16" s="102" t="s">
        <v>72</v>
      </c>
      <c r="C16" s="64">
        <f aca="true" t="shared" si="0" ref="C16:L16">SUM(C9:C15)</f>
        <v>10203799.921261052</v>
      </c>
      <c r="D16" s="64">
        <f t="shared" si="0"/>
        <v>10461227.202773247</v>
      </c>
      <c r="E16" s="64">
        <f t="shared" si="0"/>
        <v>10733125.138687924</v>
      </c>
      <c r="F16" s="64">
        <f t="shared" si="0"/>
        <v>11317324.138601003</v>
      </c>
      <c r="G16" s="64">
        <f t="shared" si="0"/>
        <v>11563097.04831197</v>
      </c>
      <c r="H16" s="64">
        <f t="shared" si="0"/>
        <v>12930411.73</v>
      </c>
      <c r="I16" s="64">
        <f t="shared" si="0"/>
        <v>13526356.379999999</v>
      </c>
      <c r="J16" s="64">
        <f t="shared" si="0"/>
        <v>9726871.489999998</v>
      </c>
      <c r="K16" s="153">
        <f t="shared" si="0"/>
        <v>10166</v>
      </c>
      <c r="L16" s="153">
        <f t="shared" si="0"/>
        <v>10719</v>
      </c>
      <c r="M16" s="46">
        <f>SUM(M9:M15)</f>
        <v>10576</v>
      </c>
      <c r="N16" s="43">
        <f>SUM(N9:N15)</f>
        <v>11349266</v>
      </c>
      <c r="O16" s="43">
        <f>SUM(O9:O15)</f>
        <v>10798600</v>
      </c>
      <c r="P16" s="43">
        <f>SUM(P9:P15)</f>
        <v>11280600</v>
      </c>
    </row>
    <row r="17" spans="1:16" ht="12.75">
      <c r="A17" s="20" t="s">
        <v>73</v>
      </c>
      <c r="B17" s="34" t="s">
        <v>74</v>
      </c>
      <c r="C17" s="40">
        <f>15386250/1.95583</f>
        <v>7866864.707055317</v>
      </c>
      <c r="D17" s="21">
        <f>14457704/1.95583</f>
        <v>7392106.675938093</v>
      </c>
      <c r="E17" s="41">
        <f>16146261.42/1.95583</f>
        <v>8255452.375717727</v>
      </c>
      <c r="F17" s="65">
        <f>16740494.45/1.95583</f>
        <v>8559278.899495354</v>
      </c>
      <c r="G17" s="65">
        <f>14835110.02/1.95583</f>
        <v>7585071.309878671</v>
      </c>
      <c r="H17" s="65">
        <v>8318024.47</v>
      </c>
      <c r="I17" s="65">
        <v>8463070.8</v>
      </c>
      <c r="J17" s="65">
        <v>22608687.68</v>
      </c>
      <c r="K17" s="179">
        <v>29003</v>
      </c>
      <c r="L17" s="179">
        <v>25782</v>
      </c>
      <c r="M17" s="174">
        <v>27072</v>
      </c>
      <c r="N17" s="39">
        <v>27004184</v>
      </c>
      <c r="O17" s="39">
        <v>27257600</v>
      </c>
      <c r="P17" s="39">
        <v>27935400</v>
      </c>
    </row>
    <row r="18" spans="1:16" ht="12.75">
      <c r="A18" s="20" t="s">
        <v>75</v>
      </c>
      <c r="B18" s="34" t="s">
        <v>76</v>
      </c>
      <c r="C18" s="40">
        <f>556611/1.95583</f>
        <v>284590.6852845084</v>
      </c>
      <c r="D18" s="21">
        <f>792163/1.95583</f>
        <v>405026.51048404</v>
      </c>
      <c r="E18" s="41">
        <f>731225.8/1.95583</f>
        <v>373869.81486120983</v>
      </c>
      <c r="F18" s="65">
        <f>485867.15/1.95583</f>
        <v>248419.9291349453</v>
      </c>
      <c r="G18" s="65">
        <f>624249.96/1.95583</f>
        <v>319173.93638506415</v>
      </c>
      <c r="H18" s="65">
        <f>170342.11+148800.78</f>
        <v>319142.89</v>
      </c>
      <c r="I18" s="65">
        <f>191191.72+162198.14</f>
        <v>353389.86</v>
      </c>
      <c r="J18" s="65">
        <v>288385.3</v>
      </c>
      <c r="K18" s="179">
        <v>219</v>
      </c>
      <c r="L18" s="179">
        <v>260</v>
      </c>
      <c r="M18" s="174">
        <v>244</v>
      </c>
      <c r="N18" s="39">
        <v>196393</v>
      </c>
      <c r="O18" s="39">
        <v>92800</v>
      </c>
      <c r="P18" s="39">
        <v>92800</v>
      </c>
    </row>
    <row r="19" spans="1:16" ht="15">
      <c r="A19" s="58"/>
      <c r="B19" s="36" t="s">
        <v>77</v>
      </c>
      <c r="C19" s="64">
        <f aca="true" t="shared" si="1" ref="C19:L19">SUM(C9:C18)-C16</f>
        <v>18355255.313600883</v>
      </c>
      <c r="D19" s="64">
        <f t="shared" si="1"/>
        <v>18258360.38919538</v>
      </c>
      <c r="E19" s="64">
        <f t="shared" si="1"/>
        <v>19362447.329266857</v>
      </c>
      <c r="F19" s="64">
        <f t="shared" si="1"/>
        <v>20125022.967231303</v>
      </c>
      <c r="G19" s="64">
        <f t="shared" si="1"/>
        <v>19467342.294575706</v>
      </c>
      <c r="H19" s="64">
        <f t="shared" si="1"/>
        <v>21567579.09</v>
      </c>
      <c r="I19" s="64">
        <f t="shared" si="1"/>
        <v>22342817.040000003</v>
      </c>
      <c r="J19" s="64">
        <f t="shared" si="1"/>
        <v>32623944.469999995</v>
      </c>
      <c r="K19" s="153">
        <f t="shared" si="1"/>
        <v>39388</v>
      </c>
      <c r="L19" s="153">
        <f t="shared" si="1"/>
        <v>36761</v>
      </c>
      <c r="M19" s="46">
        <f>SUM(M16:M18)</f>
        <v>37892</v>
      </c>
      <c r="N19" s="43">
        <f>SUM(N16:N18)</f>
        <v>38549843</v>
      </c>
      <c r="O19" s="43">
        <f>SUM(O16:O18)</f>
        <v>38149000</v>
      </c>
      <c r="P19" s="43">
        <f>SUM(P16:P18)</f>
        <v>39308800</v>
      </c>
    </row>
    <row r="20" spans="1:16" ht="36">
      <c r="A20" s="18" t="s">
        <v>78</v>
      </c>
      <c r="B20" s="31" t="s">
        <v>79</v>
      </c>
      <c r="C20" s="40">
        <f>2496886/1.95583</f>
        <v>1276637.5400725012</v>
      </c>
      <c r="D20" s="15">
        <f>8948213/1.95583</f>
        <v>4575148.6581144575</v>
      </c>
      <c r="E20" s="39">
        <f>10919969.34/1.95583</f>
        <v>5583291.666453629</v>
      </c>
      <c r="F20" s="39">
        <f>12193532.18/1.95583</f>
        <v>6234454.006738827</v>
      </c>
      <c r="G20" s="39">
        <f>(0+15944480.95)/1.95583</f>
        <v>8152283.659622769</v>
      </c>
      <c r="H20" s="65">
        <v>8238403.56</v>
      </c>
      <c r="I20" s="65">
        <v>6319434.19</v>
      </c>
      <c r="J20" s="65">
        <v>5856584.9</v>
      </c>
      <c r="K20" s="179">
        <v>3040</v>
      </c>
      <c r="L20" s="179">
        <v>3181</v>
      </c>
      <c r="M20" s="174">
        <v>3637</v>
      </c>
      <c r="N20" s="39">
        <v>4293311</v>
      </c>
      <c r="O20" s="39">
        <v>4199500</v>
      </c>
      <c r="P20" s="39">
        <v>4027400</v>
      </c>
    </row>
    <row r="21" spans="1:16" ht="12.75">
      <c r="A21" s="18" t="s">
        <v>80</v>
      </c>
      <c r="B21" s="33" t="s">
        <v>43</v>
      </c>
      <c r="C21" s="40">
        <f>566805/1.95583</f>
        <v>289802.7947214226</v>
      </c>
      <c r="D21" s="15">
        <f>486150/1.95583</f>
        <v>248564.5480435416</v>
      </c>
      <c r="E21" s="39">
        <f>2035982.9/1.95583</f>
        <v>1040981.5270243323</v>
      </c>
      <c r="F21" s="39">
        <f>2036070.38/1.95583</f>
        <v>1041026.2548380994</v>
      </c>
      <c r="G21" s="39">
        <f>1894806.58/1.95583</f>
        <v>968799.2207911732</v>
      </c>
      <c r="H21" s="65">
        <v>664321.45</v>
      </c>
      <c r="I21" s="65">
        <v>0</v>
      </c>
      <c r="J21" s="65">
        <v>0</v>
      </c>
      <c r="K21" s="179">
        <v>0</v>
      </c>
      <c r="L21" s="179">
        <v>0</v>
      </c>
      <c r="M21" s="174">
        <v>0</v>
      </c>
      <c r="N21" s="39">
        <v>0</v>
      </c>
      <c r="O21" s="39">
        <v>0</v>
      </c>
      <c r="P21" s="39">
        <v>0</v>
      </c>
    </row>
    <row r="22" spans="1:16" ht="24">
      <c r="A22" s="18" t="s">
        <v>81</v>
      </c>
      <c r="B22" s="31" t="s">
        <v>82</v>
      </c>
      <c r="C22" s="40">
        <f>107290998/1.95583</f>
        <v>54857016.20283972</v>
      </c>
      <c r="D22" s="15">
        <f>(33419907+33869032+2057235+1456038+5637819+9918225+12645654)/1.95583</f>
        <v>50619895.38968111</v>
      </c>
      <c r="E22" s="39">
        <f>(109074841.86-2035982.9-10919969.34)/1.95583</f>
        <v>49144807.89230148</v>
      </c>
      <c r="F22" s="39">
        <v>48803321.35</v>
      </c>
      <c r="G22" s="39">
        <f>(30592419.92+38124090.55+1803573.87+1494253.23+7864731.66+10231523.45+7418120.94)/1.95583</f>
        <v>49865639.457417056</v>
      </c>
      <c r="H22" s="65">
        <f>16496541.03+20363541.15+716805.87+919895.38+5064030.42+5682030.81+874426.4+3734414.58</f>
        <v>53851685.64</v>
      </c>
      <c r="I22" s="65">
        <f>16898133.08+19441634.57+718199.47+1128812.7+4506956.73-10347.81+1164463.7+1159015.17+7315319.14+3725255.63</f>
        <v>56047442.38</v>
      </c>
      <c r="J22" s="65">
        <v>58932708.55</v>
      </c>
      <c r="K22" s="179">
        <v>92073</v>
      </c>
      <c r="L22" s="179">
        <v>111581</v>
      </c>
      <c r="M22" s="174">
        <v>112245</v>
      </c>
      <c r="N22" s="39">
        <v>109740212</v>
      </c>
      <c r="O22" s="39">
        <f>28038500+8646800+74279800+2336500</f>
        <v>113301600</v>
      </c>
      <c r="P22" s="39">
        <v>126262800</v>
      </c>
    </row>
    <row r="23" spans="1:16" ht="12.75">
      <c r="A23" s="18" t="s">
        <v>196</v>
      </c>
      <c r="B23" s="33" t="s">
        <v>83</v>
      </c>
      <c r="C23" s="40">
        <f>4547967/1.95583</f>
        <v>2325338.6030483223</v>
      </c>
      <c r="D23" s="15">
        <f>4809538/1.95583</f>
        <v>2459077.7317046984</v>
      </c>
      <c r="E23" s="39">
        <f>4945549.03/1.95583</f>
        <v>2528619.0670968336</v>
      </c>
      <c r="F23" s="39">
        <f>4653426.47/1.95583</f>
        <v>2379259.1738545783</v>
      </c>
      <c r="G23" s="39">
        <f>5125537.18/1.95583</f>
        <v>2620645.5469033606</v>
      </c>
      <c r="H23" s="65">
        <f>1853474.35+878962.18</f>
        <v>2732436.5300000003</v>
      </c>
      <c r="I23" s="65">
        <f>2102332.89+682209.28</f>
        <v>2784542.17</v>
      </c>
      <c r="J23" s="65">
        <f>364784.92+741407.65</f>
        <v>1106192.57</v>
      </c>
      <c r="K23" s="179">
        <v>1179</v>
      </c>
      <c r="L23" s="179">
        <v>1444</v>
      </c>
      <c r="M23" s="174">
        <v>2204</v>
      </c>
      <c r="N23" s="39">
        <v>2319955.83</v>
      </c>
      <c r="O23" s="39">
        <v>2288600</v>
      </c>
      <c r="P23" s="39">
        <v>2766600</v>
      </c>
    </row>
    <row r="24" spans="1:16" ht="36">
      <c r="A24" s="48" t="s">
        <v>84</v>
      </c>
      <c r="B24" s="31" t="s">
        <v>85</v>
      </c>
      <c r="C24" s="40">
        <f>9150/1.95583</f>
        <v>4678.3207129453995</v>
      </c>
      <c r="D24" s="15">
        <v>0</v>
      </c>
      <c r="E24" s="39">
        <v>0</v>
      </c>
      <c r="F24" s="39">
        <v>0</v>
      </c>
      <c r="G24" s="39">
        <f>0+0+0</f>
        <v>0</v>
      </c>
      <c r="H24" s="65">
        <v>0</v>
      </c>
      <c r="I24" s="65">
        <f>763.61</f>
        <v>763.61</v>
      </c>
      <c r="J24" s="65">
        <v>884.3</v>
      </c>
      <c r="K24" s="179">
        <v>0</v>
      </c>
      <c r="L24" s="179">
        <f>0</f>
        <v>0</v>
      </c>
      <c r="M24" s="174">
        <v>0</v>
      </c>
      <c r="N24" s="39">
        <v>0</v>
      </c>
      <c r="O24" s="39">
        <v>0</v>
      </c>
      <c r="P24" s="39">
        <v>0</v>
      </c>
    </row>
    <row r="25" spans="1:16" ht="12.75">
      <c r="A25" s="18" t="s">
        <v>86</v>
      </c>
      <c r="B25" s="33" t="s">
        <v>87</v>
      </c>
      <c r="C25" s="40">
        <f>3814751/1.95583</f>
        <v>1950451.2150851558</v>
      </c>
      <c r="D25" s="15">
        <f>4001785/1.95583</f>
        <v>2046080.1807928092</v>
      </c>
      <c r="E25" s="39">
        <f>4016805.45/1.95583</f>
        <v>2053760.014929723</v>
      </c>
      <c r="F25" s="39">
        <f>998000/1.95583</f>
        <v>510269.2974338261</v>
      </c>
      <c r="G25" s="39">
        <f>1110000/1.95583</f>
        <v>567533.9881278025</v>
      </c>
      <c r="H25" s="65">
        <v>440840.3</v>
      </c>
      <c r="I25" s="65">
        <v>537767.95</v>
      </c>
      <c r="J25" s="65">
        <v>587289.11</v>
      </c>
      <c r="K25" s="179">
        <v>682</v>
      </c>
      <c r="L25" s="179">
        <v>600</v>
      </c>
      <c r="M25" s="174">
        <v>568</v>
      </c>
      <c r="N25" s="39">
        <v>556316</v>
      </c>
      <c r="O25" s="39">
        <v>616200</v>
      </c>
      <c r="P25" s="39">
        <v>493400</v>
      </c>
    </row>
    <row r="26" spans="1:16" ht="12.75">
      <c r="A26" s="49"/>
      <c r="B26" s="36" t="s">
        <v>50</v>
      </c>
      <c r="C26" s="64">
        <f aca="true" t="shared" si="2" ref="C26:L26">SUM(C7:C25)-C16-C19</f>
        <v>99660980.24879462</v>
      </c>
      <c r="D26" s="64">
        <f t="shared" si="2"/>
        <v>97654680.6215264</v>
      </c>
      <c r="E26" s="64">
        <f t="shared" si="2"/>
        <v>99868369.29078703</v>
      </c>
      <c r="F26" s="64">
        <f t="shared" si="2"/>
        <v>99601652.17118587</v>
      </c>
      <c r="G26" s="64">
        <f t="shared" si="2"/>
        <v>102526032.40056652</v>
      </c>
      <c r="H26" s="64">
        <f>SUM(H7:H25)-H16-H19</f>
        <v>110086257.57000001</v>
      </c>
      <c r="I26" s="64">
        <f t="shared" si="2"/>
        <v>110946993.90999998</v>
      </c>
      <c r="J26" s="64">
        <f t="shared" si="2"/>
        <v>120021615.93</v>
      </c>
      <c r="K26" s="153">
        <f>SUM(K7:K25)-K16-K19</f>
        <v>159825</v>
      </c>
      <c r="L26" s="153">
        <f t="shared" si="2"/>
        <v>177159</v>
      </c>
      <c r="M26" s="46">
        <f>SUM(M7:M25)-M16-M19</f>
        <v>180868</v>
      </c>
      <c r="N26" s="43">
        <f>SUM(N7:N25)-N16-N19</f>
        <v>181521512.83</v>
      </c>
      <c r="O26" s="43">
        <f>SUM(O7:O25)-O16-O19</f>
        <v>185716400</v>
      </c>
      <c r="P26" s="43">
        <f>SUM(P7:P25)-P16-P19</f>
        <v>202747700</v>
      </c>
    </row>
    <row r="27" spans="1:16" ht="12.75">
      <c r="A27" s="49"/>
      <c r="B27" s="37" t="s">
        <v>88</v>
      </c>
      <c r="C27" s="53">
        <f>C26*100/108335592-100</f>
        <v>-8.00716698091739</v>
      </c>
      <c r="D27" s="50">
        <f aca="true" t="shared" si="3" ref="D27:I27">D26*100/C26-100</f>
        <v>-2.0131245169971805</v>
      </c>
      <c r="E27" s="53">
        <f t="shared" si="3"/>
        <v>2.266853626648029</v>
      </c>
      <c r="F27" s="53">
        <f t="shared" si="3"/>
        <v>-0.26706866397762496</v>
      </c>
      <c r="G27" s="53">
        <f t="shared" si="3"/>
        <v>2.936076024476492</v>
      </c>
      <c r="H27" s="53">
        <v>3.7</v>
      </c>
      <c r="I27" s="53">
        <f t="shared" si="3"/>
        <v>0.7818744673490841</v>
      </c>
      <c r="J27" s="53">
        <f>J26*100/I26-100</f>
        <v>8.179241005269006</v>
      </c>
      <c r="K27" s="53">
        <v>33.17</v>
      </c>
      <c r="L27" s="53">
        <f>L26*100/K26-100</f>
        <v>10.84561238854998</v>
      </c>
      <c r="M27" s="53">
        <f>M26*100/L26-100</f>
        <v>2.0935995348810934</v>
      </c>
      <c r="N27" s="53">
        <v>1.5</v>
      </c>
      <c r="O27" s="53">
        <f>O26*100/N26-100</f>
        <v>2.310958687265142</v>
      </c>
      <c r="P27" s="53">
        <f>P26*100/O26-100</f>
        <v>9.170595596296295</v>
      </c>
    </row>
    <row r="28" spans="1:16" ht="24">
      <c r="A28" s="18" t="s">
        <v>89</v>
      </c>
      <c r="B28" s="31" t="s">
        <v>90</v>
      </c>
      <c r="C28" s="40">
        <f>5143910/1.95583</f>
        <v>2630039.4206040404</v>
      </c>
      <c r="D28" s="15">
        <f>5390524/1.95583</f>
        <v>2756131.1565933647</v>
      </c>
      <c r="E28" s="39">
        <f>5642645.58/1.95583</f>
        <v>2885038.8735217275</v>
      </c>
      <c r="F28" s="39">
        <f>6280411.79/1.95583</f>
        <v>3211123.55879601</v>
      </c>
      <c r="G28" s="39">
        <f>6535104.02/1.95583</f>
        <v>3341345.62819877</v>
      </c>
      <c r="H28" s="65">
        <v>3650436.54</v>
      </c>
      <c r="I28" s="65">
        <v>3245464.68</v>
      </c>
      <c r="J28" s="65">
        <v>561550.86</v>
      </c>
      <c r="K28" s="179">
        <v>603</v>
      </c>
      <c r="L28" s="179">
        <v>646</v>
      </c>
      <c r="M28" s="174">
        <v>676</v>
      </c>
      <c r="N28" s="39">
        <v>708272</v>
      </c>
      <c r="O28" s="39">
        <v>766300</v>
      </c>
      <c r="P28" s="39">
        <v>602800</v>
      </c>
    </row>
    <row r="29" spans="1:16" ht="24">
      <c r="A29" s="18" t="s">
        <v>193</v>
      </c>
      <c r="B29" s="31" t="s">
        <v>91</v>
      </c>
      <c r="C29" s="40">
        <v>0</v>
      </c>
      <c r="D29" s="15">
        <f>2535150/1.95583</f>
        <v>1296201.6126145932</v>
      </c>
      <c r="E29" s="39">
        <f>34177074.66/1.95583</f>
        <v>17474460.79669501</v>
      </c>
      <c r="F29" s="39">
        <f>43874272.26/1.95583</f>
        <v>22432559.199930463</v>
      </c>
      <c r="G29" s="39">
        <f>(0+40048991.94)/1.95583</f>
        <v>20476724.42901479</v>
      </c>
      <c r="H29" s="65">
        <v>21648898.64</v>
      </c>
      <c r="I29" s="65">
        <v>24735972.57</v>
      </c>
      <c r="J29" s="65">
        <v>31749783.4</v>
      </c>
      <c r="K29" s="179">
        <v>40926</v>
      </c>
      <c r="L29" s="179">
        <v>49848</v>
      </c>
      <c r="M29" s="174">
        <v>60898</v>
      </c>
      <c r="N29" s="39">
        <v>56071245</v>
      </c>
      <c r="O29" s="39">
        <v>54237300</v>
      </c>
      <c r="P29" s="39">
        <v>51670800</v>
      </c>
    </row>
    <row r="30" spans="1:16" ht="12.75">
      <c r="A30" s="23"/>
      <c r="B30" s="36"/>
      <c r="C30" s="42"/>
      <c r="D30" s="25"/>
      <c r="E30" s="45"/>
      <c r="F30" s="45"/>
      <c r="G30" s="45"/>
      <c r="H30" s="158"/>
      <c r="I30" s="158"/>
      <c r="J30" s="158"/>
      <c r="K30" s="162"/>
      <c r="L30" s="162"/>
      <c r="M30" s="45"/>
      <c r="N30" s="44"/>
      <c r="O30" s="44"/>
      <c r="P30" s="44"/>
    </row>
    <row r="31" spans="1:16" ht="12.75">
      <c r="A31" s="23" t="s">
        <v>92</v>
      </c>
      <c r="B31" s="37" t="s">
        <v>93</v>
      </c>
      <c r="C31" s="64">
        <f>C26+C28+C29</f>
        <v>102291019.66939865</v>
      </c>
      <c r="D31" s="63">
        <f>D26+D28+D29</f>
        <v>101707013.39073436</v>
      </c>
      <c r="E31" s="64">
        <f>E26+E28+E29</f>
        <v>120227868.96100377</v>
      </c>
      <c r="F31" s="64">
        <f>F26+F28+F29-1000</f>
        <v>125244334.92991233</v>
      </c>
      <c r="G31" s="64">
        <f aca="true" t="shared" si="4" ref="G31:P31">G26+G28+G29</f>
        <v>126344102.45778008</v>
      </c>
      <c r="H31" s="64">
        <f t="shared" si="4"/>
        <v>135385592.75</v>
      </c>
      <c r="I31" s="64">
        <f t="shared" si="4"/>
        <v>138928431.16</v>
      </c>
      <c r="J31" s="64">
        <f t="shared" si="4"/>
        <v>152332950.19</v>
      </c>
      <c r="K31" s="153">
        <f t="shared" si="4"/>
        <v>201354</v>
      </c>
      <c r="L31" s="153">
        <f t="shared" si="4"/>
        <v>227653</v>
      </c>
      <c r="M31" s="46">
        <f t="shared" si="4"/>
        <v>242442</v>
      </c>
      <c r="N31" s="43">
        <f t="shared" si="4"/>
        <v>238301029.83</v>
      </c>
      <c r="O31" s="43">
        <f t="shared" si="4"/>
        <v>240720000</v>
      </c>
      <c r="P31" s="43">
        <f t="shared" si="4"/>
        <v>255021300</v>
      </c>
    </row>
    <row r="32" spans="1:16" ht="12.75">
      <c r="A32" s="23"/>
      <c r="B32" s="37"/>
      <c r="C32" s="64"/>
      <c r="D32" s="27"/>
      <c r="E32" s="46"/>
      <c r="F32" s="64"/>
      <c r="G32" s="64"/>
      <c r="H32" s="158"/>
      <c r="I32" s="158"/>
      <c r="J32" s="158"/>
      <c r="K32" s="162"/>
      <c r="L32" s="162"/>
      <c r="M32" s="45"/>
      <c r="N32" s="44"/>
      <c r="O32" s="44"/>
      <c r="P32" s="44"/>
    </row>
    <row r="33" spans="1:16" ht="12.75">
      <c r="A33" s="55"/>
      <c r="B33" s="56"/>
      <c r="C33" s="159"/>
      <c r="D33" s="54"/>
      <c r="E33" s="54"/>
      <c r="F33" s="54"/>
      <c r="G33" s="54"/>
      <c r="H33" s="125"/>
      <c r="I33" s="125"/>
      <c r="J33" s="125"/>
      <c r="K33" s="180"/>
      <c r="L33" s="180"/>
      <c r="M33" s="174"/>
      <c r="N33" s="39"/>
      <c r="O33" s="39"/>
      <c r="P33" s="39"/>
    </row>
    <row r="34" spans="1:16" ht="24">
      <c r="A34" s="135"/>
      <c r="B34" s="52" t="s">
        <v>94</v>
      </c>
      <c r="C34" s="103" t="e">
        <f>'Vorb10 11'!#REF!-'Vorb10 12'!C31</f>
        <v>#REF!</v>
      </c>
      <c r="D34" s="103">
        <f>'Vorb10 11'!C48-'Vorb10 12'!D31</f>
        <v>-8051704.346318424</v>
      </c>
      <c r="E34" s="103">
        <f>'Vorb10 11'!D48-'Vorb10 12'!E31</f>
        <v>-22432559.199930474</v>
      </c>
      <c r="F34" s="103">
        <f>'Vorb10 11'!E48-'Vorb10 12'!F31</f>
        <v>-20476015.755955473</v>
      </c>
      <c r="G34" s="103">
        <f>'Vorb10 11'!F48-'Vorb10 12'!G31</f>
        <v>-20617924.446398705</v>
      </c>
      <c r="H34" s="103">
        <f>'Vorb10 11'!G48-'Vorb10 12'!H31</f>
        <v>-24826039.949999988</v>
      </c>
      <c r="I34" s="103">
        <f>'Vorb10 11'!H48-'Vorb10 12'!I31</f>
        <v>-31749783.399999976</v>
      </c>
      <c r="J34" s="103">
        <f>'Vorb10 11'!I48-'Vorb10 12'!J31</f>
        <v>-40926351.59</v>
      </c>
      <c r="K34" s="181">
        <f>'Vorb10 11'!J48-'Vorb10 12'!K31</f>
        <v>-49847</v>
      </c>
      <c r="L34" s="181">
        <f>'Vorb10 11'!K48-'Vorb10 12'!L31</f>
        <v>-57540</v>
      </c>
      <c r="M34" s="45">
        <v>-64450</v>
      </c>
      <c r="N34" s="44">
        <f>'Vorb10 11'!M48-'Vorb10 12'!N31</f>
        <v>-54237716.83000001</v>
      </c>
      <c r="O34" s="44">
        <f>'Vorb10 11'!N48-'Vorb10 12'!O31</f>
        <v>-51670800</v>
      </c>
      <c r="P34" s="44">
        <f>'Vorb10 11'!O48-'Vorb10 12'!P31</f>
        <v>-66413000</v>
      </c>
    </row>
    <row r="35" spans="1:16" ht="12.75">
      <c r="A35" s="135"/>
      <c r="B35" s="52"/>
      <c r="C35" s="151"/>
      <c r="D35" s="151"/>
      <c r="E35" s="151"/>
      <c r="F35" s="151"/>
      <c r="G35" s="151"/>
      <c r="H35" s="158"/>
      <c r="I35" s="158"/>
      <c r="J35" s="158"/>
      <c r="K35" s="162"/>
      <c r="L35" s="158"/>
      <c r="M35" s="173"/>
      <c r="N35" s="228"/>
      <c r="O35" s="228"/>
      <c r="P35" s="228"/>
    </row>
  </sheetData>
  <printOptions/>
  <pageMargins left="0.58" right="0.2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&amp;C&amp;"Arial,Fett"&amp;14Seite V 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="75" zoomScaleNormal="75" workbookViewId="0" topLeftCell="A1">
      <selection activeCell="D30" sqref="D30"/>
    </sheetView>
  </sheetViews>
  <sheetFormatPr defaultColWidth="11.421875" defaultRowHeight="12.75"/>
  <cols>
    <col min="1" max="1" width="57.7109375" style="116" customWidth="1"/>
    <col min="2" max="2" width="16.00390625" style="116" bestFit="1" customWidth="1"/>
    <col min="3" max="3" width="14.7109375" style="116" customWidth="1"/>
    <col min="4" max="4" width="14.421875" style="116" customWidth="1"/>
    <col min="5" max="6" width="14.421875" style="116" bestFit="1" customWidth="1"/>
    <col min="7" max="16384" width="11.421875" style="116" customWidth="1"/>
  </cols>
  <sheetData>
    <row r="1" ht="18">
      <c r="A1" s="69" t="s">
        <v>125</v>
      </c>
    </row>
    <row r="2" ht="18">
      <c r="A2" s="69" t="s">
        <v>223</v>
      </c>
    </row>
    <row r="3" ht="18">
      <c r="A3" s="69" t="s">
        <v>224</v>
      </c>
    </row>
    <row r="4" ht="15">
      <c r="A4" s="70"/>
    </row>
    <row r="5" ht="12.75"/>
    <row r="6" spans="1:3" ht="12.75">
      <c r="A6" s="133"/>
      <c r="B6" s="129"/>
      <c r="C6" s="134"/>
    </row>
    <row r="7" spans="1:3" ht="15">
      <c r="A7" s="135"/>
      <c r="B7" s="71" t="s">
        <v>126</v>
      </c>
      <c r="C7" s="72" t="s">
        <v>127</v>
      </c>
    </row>
    <row r="8" spans="1:3" ht="12.75">
      <c r="A8" s="136"/>
      <c r="B8" s="130"/>
      <c r="C8" s="137"/>
    </row>
    <row r="9" spans="1:3" ht="12.75">
      <c r="A9" s="124"/>
      <c r="B9" s="128"/>
      <c r="C9" s="125"/>
    </row>
    <row r="10" spans="1:5" ht="20.25">
      <c r="A10" s="138" t="s">
        <v>128</v>
      </c>
      <c r="B10" s="95" t="s">
        <v>198</v>
      </c>
      <c r="C10" s="95" t="s">
        <v>198</v>
      </c>
      <c r="D10" s="73" t="s">
        <v>130</v>
      </c>
      <c r="E10" s="73" t="s">
        <v>129</v>
      </c>
    </row>
    <row r="11" spans="1:6" ht="15">
      <c r="A11" s="124"/>
      <c r="B11" s="128"/>
      <c r="C11" s="125"/>
      <c r="D11" s="73">
        <v>2010</v>
      </c>
      <c r="E11" s="73">
        <v>2010</v>
      </c>
      <c r="F11" s="73" t="s">
        <v>131</v>
      </c>
    </row>
    <row r="12" spans="1:6" ht="15">
      <c r="A12" s="124"/>
      <c r="B12" s="128"/>
      <c r="C12" s="125"/>
      <c r="D12" s="73" t="s">
        <v>198</v>
      </c>
      <c r="E12" s="73" t="s">
        <v>198</v>
      </c>
      <c r="F12" s="73"/>
    </row>
    <row r="13" spans="1:6" ht="18">
      <c r="A13" s="74" t="s">
        <v>132</v>
      </c>
      <c r="B13" s="128"/>
      <c r="C13" s="125"/>
      <c r="D13" s="73"/>
      <c r="F13" s="73"/>
    </row>
    <row r="14" spans="1:6" ht="15">
      <c r="A14" s="75"/>
      <c r="B14" s="139"/>
      <c r="C14" s="76"/>
      <c r="D14" s="77"/>
      <c r="E14" s="77"/>
      <c r="F14" s="77"/>
    </row>
    <row r="15" spans="1:6" ht="15">
      <c r="A15" s="75" t="s">
        <v>210</v>
      </c>
      <c r="B15" s="235">
        <f>F15</f>
        <v>1</v>
      </c>
      <c r="C15" s="76"/>
      <c r="D15" s="77">
        <v>21</v>
      </c>
      <c r="E15" s="77">
        <v>22</v>
      </c>
      <c r="F15" s="77">
        <f>E15-D15</f>
        <v>1</v>
      </c>
    </row>
    <row r="16" spans="1:6" ht="15">
      <c r="A16" s="124"/>
      <c r="B16" s="236"/>
      <c r="C16" s="125"/>
      <c r="D16" s="70"/>
      <c r="F16" s="77"/>
    </row>
    <row r="17" spans="1:8" ht="15">
      <c r="A17" s="75" t="s">
        <v>133</v>
      </c>
      <c r="B17" s="235">
        <f>IF(F17&gt;=0,F17,"")</f>
      </c>
      <c r="C17" s="235">
        <f>IF(F17&lt;0,F17*-1,"")</f>
        <v>2520</v>
      </c>
      <c r="D17" s="77">
        <v>26466</v>
      </c>
      <c r="E17" s="77">
        <v>23946</v>
      </c>
      <c r="F17" s="77">
        <f>E17-D17</f>
        <v>-2520</v>
      </c>
      <c r="H17" s="96"/>
    </row>
    <row r="18" spans="1:9" ht="15">
      <c r="A18" s="75"/>
      <c r="B18" s="235"/>
      <c r="C18" s="235">
        <f aca="true" t="shared" si="0" ref="C18:C39">IF(F18&lt;0,F18*-1,"")</f>
      </c>
      <c r="D18" s="77"/>
      <c r="F18" s="77"/>
      <c r="I18" s="96"/>
    </row>
    <row r="19" spans="1:8" ht="15">
      <c r="A19" s="75" t="s">
        <v>134</v>
      </c>
      <c r="B19" s="235">
        <f>IF(F19&gt;=0,F19,"")</f>
      </c>
      <c r="C19" s="235">
        <f t="shared" si="0"/>
        <v>9917</v>
      </c>
      <c r="D19" s="77">
        <v>60400</v>
      </c>
      <c r="E19" s="77">
        <v>50483</v>
      </c>
      <c r="F19" s="77">
        <f>E19-D19</f>
        <v>-9917</v>
      </c>
      <c r="H19" s="96"/>
    </row>
    <row r="20" spans="1:6" ht="15">
      <c r="A20" s="75"/>
      <c r="B20" s="235"/>
      <c r="C20" s="235">
        <f t="shared" si="0"/>
      </c>
      <c r="D20" s="77"/>
      <c r="F20" s="77"/>
    </row>
    <row r="21" spans="1:6" ht="15">
      <c r="A21" s="75" t="s">
        <v>217</v>
      </c>
      <c r="B21" s="235">
        <f>IF(F21&gt;=0,F21,"")</f>
        <v>250</v>
      </c>
      <c r="C21" s="235">
        <f t="shared" si="0"/>
      </c>
      <c r="D21" s="77">
        <v>2200</v>
      </c>
      <c r="E21" s="77">
        <v>2450</v>
      </c>
      <c r="F21" s="77">
        <f>E21-D21</f>
        <v>250</v>
      </c>
    </row>
    <row r="22" spans="1:6" ht="15">
      <c r="A22" s="75"/>
      <c r="B22" s="235"/>
      <c r="C22" s="235">
        <f t="shared" si="0"/>
      </c>
      <c r="D22" s="77"/>
      <c r="F22" s="77"/>
    </row>
    <row r="23" spans="1:6" ht="15">
      <c r="A23" s="75" t="s">
        <v>135</v>
      </c>
      <c r="B23" s="235">
        <f>IF(F23&gt;=0,F23,"")</f>
      </c>
      <c r="C23" s="235">
        <f t="shared" si="0"/>
        <v>48.600000000000364</v>
      </c>
      <c r="D23" s="234">
        <v>6189.6</v>
      </c>
      <c r="E23" s="234">
        <v>6141</v>
      </c>
      <c r="F23" s="77">
        <f>E23-D23</f>
        <v>-48.600000000000364</v>
      </c>
    </row>
    <row r="24" spans="1:6" ht="15">
      <c r="A24" s="75"/>
      <c r="B24" s="235"/>
      <c r="C24" s="235">
        <f t="shared" si="0"/>
      </c>
      <c r="D24" s="220"/>
      <c r="E24" s="221"/>
      <c r="F24" s="218"/>
    </row>
    <row r="25" spans="1:6" ht="15">
      <c r="A25" s="75" t="s">
        <v>136</v>
      </c>
      <c r="B25" s="235">
        <f>IF(F25&gt;=0,F25,"")</f>
        <v>4.100000000000023</v>
      </c>
      <c r="C25" s="235">
        <f t="shared" si="0"/>
      </c>
      <c r="D25" s="234">
        <v>671.9</v>
      </c>
      <c r="E25" s="234">
        <v>676</v>
      </c>
      <c r="F25" s="77">
        <f>E25-D25</f>
        <v>4.100000000000023</v>
      </c>
    </row>
    <row r="26" spans="1:9" ht="15">
      <c r="A26" s="75"/>
      <c r="B26" s="235"/>
      <c r="C26" s="235">
        <f t="shared" si="0"/>
      </c>
      <c r="D26" s="220"/>
      <c r="E26" s="220"/>
      <c r="F26" s="218"/>
      <c r="I26" s="96"/>
    </row>
    <row r="27" spans="1:9" ht="15">
      <c r="A27" s="75" t="s">
        <v>185</v>
      </c>
      <c r="B27" s="235">
        <f>IF(F27&gt;=0,F27,"")</f>
        <v>1465.8999999999996</v>
      </c>
      <c r="C27" s="235">
        <f t="shared" si="0"/>
      </c>
      <c r="D27" s="234">
        <v>5819.8</v>
      </c>
      <c r="E27" s="234">
        <v>7285.7</v>
      </c>
      <c r="F27" s="77">
        <f>E27-D27</f>
        <v>1465.8999999999996</v>
      </c>
      <c r="I27" s="96"/>
    </row>
    <row r="28" spans="1:6" ht="15">
      <c r="A28" s="75"/>
      <c r="B28" s="235"/>
      <c r="C28" s="235">
        <f t="shared" si="0"/>
      </c>
      <c r="D28" s="220"/>
      <c r="E28" s="221"/>
      <c r="F28" s="218"/>
    </row>
    <row r="29" spans="1:6" ht="15">
      <c r="A29" s="75" t="s">
        <v>137</v>
      </c>
      <c r="B29" s="235">
        <f>IF(F29&gt;=0,F29,"")</f>
        <v>1683.0999999999985</v>
      </c>
      <c r="C29" s="235">
        <f t="shared" si="0"/>
      </c>
      <c r="D29" s="234">
        <v>27142.9</v>
      </c>
      <c r="E29" s="234">
        <v>28826</v>
      </c>
      <c r="F29" s="77">
        <f>E29-D29</f>
        <v>1683.0999999999985</v>
      </c>
    </row>
    <row r="30" spans="1:6" ht="15">
      <c r="A30" s="75"/>
      <c r="B30" s="235"/>
      <c r="C30" s="235">
        <f t="shared" si="0"/>
      </c>
      <c r="D30" s="220"/>
      <c r="E30" s="221"/>
      <c r="F30" s="218"/>
    </row>
    <row r="31" spans="1:9" ht="15">
      <c r="A31" s="75" t="s">
        <v>138</v>
      </c>
      <c r="B31" s="235"/>
      <c r="C31" s="235">
        <f t="shared" si="0"/>
      </c>
      <c r="D31" s="121"/>
      <c r="E31" s="121"/>
      <c r="F31" s="77"/>
      <c r="I31" s="77"/>
    </row>
    <row r="32" spans="1:8" ht="15">
      <c r="A32" s="75" t="s">
        <v>139</v>
      </c>
      <c r="B32" s="235">
        <f>IF(F32&gt;=0,F32,"")</f>
        <v>4.600000000000136</v>
      </c>
      <c r="C32" s="235">
        <f t="shared" si="0"/>
      </c>
      <c r="D32" s="234">
        <v>1132.1</v>
      </c>
      <c r="E32" s="234">
        <v>1136.7</v>
      </c>
      <c r="F32" s="77">
        <f>E32-D32</f>
        <v>4.600000000000136</v>
      </c>
      <c r="H32" s="96"/>
    </row>
    <row r="33" spans="1:6" ht="15">
      <c r="A33" s="75"/>
      <c r="B33" s="235"/>
      <c r="C33" s="235">
        <f t="shared" si="0"/>
      </c>
      <c r="D33" s="220"/>
      <c r="E33" s="221"/>
      <c r="F33" s="218"/>
    </row>
    <row r="34" spans="1:6" ht="15">
      <c r="A34" s="75" t="s">
        <v>140</v>
      </c>
      <c r="B34" s="235"/>
      <c r="C34" s="235">
        <f t="shared" si="0"/>
      </c>
      <c r="D34" s="220"/>
      <c r="E34" s="221"/>
      <c r="F34" s="218"/>
    </row>
    <row r="35" spans="1:6" ht="15">
      <c r="A35" s="75" t="s">
        <v>199</v>
      </c>
      <c r="B35" s="235">
        <f>IF(F35&gt;=0,F35,"")</f>
      </c>
      <c r="C35" s="235">
        <f t="shared" si="0"/>
        <v>123</v>
      </c>
      <c r="D35" s="234">
        <v>2401.3</v>
      </c>
      <c r="E35" s="234">
        <v>2278.3</v>
      </c>
      <c r="F35" s="77">
        <f>E35-D35</f>
        <v>-123</v>
      </c>
    </row>
    <row r="36" spans="1:6" ht="15">
      <c r="A36" s="75"/>
      <c r="B36" s="235"/>
      <c r="C36" s="235">
        <f t="shared" si="0"/>
      </c>
      <c r="D36" s="220"/>
      <c r="E36" s="221"/>
      <c r="F36" s="218"/>
    </row>
    <row r="37" spans="1:6" ht="15">
      <c r="A37" s="75" t="s">
        <v>211</v>
      </c>
      <c r="B37" s="235">
        <f>IF(F37&gt;=0,F37,"")</f>
        <v>5803.199999999997</v>
      </c>
      <c r="C37" s="235">
        <f t="shared" si="0"/>
      </c>
      <c r="D37" s="77">
        <v>45357.8</v>
      </c>
      <c r="E37" s="77">
        <v>51161</v>
      </c>
      <c r="F37" s="77">
        <f>E37-D37</f>
        <v>5803.199999999997</v>
      </c>
    </row>
    <row r="38" spans="1:6" ht="15">
      <c r="A38" s="75"/>
      <c r="B38" s="235"/>
      <c r="C38" s="235">
        <f t="shared" si="0"/>
      </c>
      <c r="D38" s="218"/>
      <c r="E38" s="214"/>
      <c r="F38" s="218"/>
    </row>
    <row r="39" spans="1:6" ht="15">
      <c r="A39" s="75" t="s">
        <v>184</v>
      </c>
      <c r="B39" s="235">
        <f>IF(F39&gt;=0,F39,"")</f>
        <v>507.40000000000146</v>
      </c>
      <c r="C39" s="235">
        <f t="shared" si="0"/>
      </c>
      <c r="D39" s="77">
        <v>13696.8</v>
      </c>
      <c r="E39" s="77">
        <v>14204.2</v>
      </c>
      <c r="F39" s="77">
        <f>E39-D39</f>
        <v>507.40000000000146</v>
      </c>
    </row>
    <row r="40" spans="1:6" ht="15">
      <c r="A40" s="75"/>
      <c r="B40" s="235"/>
      <c r="C40" s="79"/>
      <c r="D40" s="218"/>
      <c r="E40" s="218"/>
      <c r="F40" s="218"/>
    </row>
    <row r="41" spans="1:6" ht="15">
      <c r="A41" s="75"/>
      <c r="B41" s="78"/>
      <c r="C41" s="79"/>
      <c r="D41" s="218"/>
      <c r="E41" s="214"/>
      <c r="F41" s="218"/>
    </row>
    <row r="42" spans="1:6" ht="18.75">
      <c r="A42" s="80" t="s">
        <v>141</v>
      </c>
      <c r="B42" s="237">
        <f>SUM(B15:B41)</f>
        <v>9719.299999999996</v>
      </c>
      <c r="C42" s="238">
        <f>SUM(C15:C41)</f>
        <v>12608.6</v>
      </c>
      <c r="D42" s="77">
        <f>SUM(D15:D39)</f>
        <v>191499.2</v>
      </c>
      <c r="E42" s="77">
        <f>SUM(E15:E39)</f>
        <v>188609.90000000002</v>
      </c>
      <c r="F42" s="77">
        <f>SUM(F15:F39)</f>
        <v>-2889.300000000003</v>
      </c>
    </row>
    <row r="43" spans="1:6" ht="15">
      <c r="A43" s="75"/>
      <c r="B43" s="78"/>
      <c r="C43" s="79"/>
      <c r="D43" s="77"/>
      <c r="F43" s="77"/>
    </row>
    <row r="44" spans="1:6" ht="18">
      <c r="A44" s="140" t="s">
        <v>142</v>
      </c>
      <c r="B44" s="141"/>
      <c r="C44" s="242">
        <f>C42-B42</f>
        <v>2889.3000000000047</v>
      </c>
      <c r="D44" s="246"/>
      <c r="E44" s="247"/>
      <c r="F44" s="77"/>
    </row>
    <row r="45" spans="1:6" ht="18">
      <c r="A45" s="140" t="s">
        <v>128</v>
      </c>
      <c r="B45" s="141"/>
      <c r="C45" s="141"/>
      <c r="D45" s="77"/>
      <c r="F45" s="77"/>
    </row>
    <row r="46" spans="1:6" ht="15">
      <c r="A46" s="81"/>
      <c r="B46" s="82"/>
      <c r="C46" s="83"/>
      <c r="D46" s="77"/>
      <c r="F46" s="77"/>
    </row>
    <row r="47" spans="2:6" ht="15">
      <c r="B47" s="84"/>
      <c r="C47" s="84"/>
      <c r="D47" s="77"/>
      <c r="F47" s="77"/>
    </row>
    <row r="48" spans="2:6" ht="15">
      <c r="B48" s="84"/>
      <c r="C48" s="84"/>
      <c r="D48" s="77"/>
      <c r="F48" s="77"/>
    </row>
    <row r="49" spans="2:6" ht="15">
      <c r="B49" s="84"/>
      <c r="C49" s="84"/>
      <c r="D49" s="77"/>
      <c r="F49" s="77"/>
    </row>
    <row r="50" spans="1:6" ht="15">
      <c r="A50" s="85"/>
      <c r="B50" s="84"/>
      <c r="C50" s="93"/>
      <c r="D50" s="94"/>
      <c r="F50" s="77"/>
    </row>
    <row r="51" spans="1:6" ht="15">
      <c r="A51" s="85"/>
      <c r="B51" s="84"/>
      <c r="C51" s="84"/>
      <c r="D51" s="77"/>
      <c r="F51" s="77"/>
    </row>
    <row r="52" spans="1:3" ht="12.75">
      <c r="A52" s="133"/>
      <c r="B52" s="129"/>
      <c r="C52" s="134"/>
    </row>
    <row r="53" spans="1:3" ht="15">
      <c r="A53" s="135"/>
      <c r="B53" s="71" t="s">
        <v>126</v>
      </c>
      <c r="C53" s="72" t="s">
        <v>127</v>
      </c>
    </row>
    <row r="54" spans="1:3" ht="12.75">
      <c r="A54" s="136"/>
      <c r="B54" s="130"/>
      <c r="C54" s="137"/>
    </row>
    <row r="55" spans="1:5" ht="15">
      <c r="A55" s="124"/>
      <c r="B55" s="128"/>
      <c r="C55" s="125"/>
      <c r="D55" s="73" t="s">
        <v>130</v>
      </c>
      <c r="E55" s="73" t="s">
        <v>129</v>
      </c>
    </row>
    <row r="56" spans="1:6" ht="20.25">
      <c r="A56" s="138" t="s">
        <v>128</v>
      </c>
      <c r="B56" s="95" t="s">
        <v>198</v>
      </c>
      <c r="C56" s="95" t="s">
        <v>198</v>
      </c>
      <c r="D56" s="73">
        <v>2010</v>
      </c>
      <c r="E56" s="73">
        <v>2010</v>
      </c>
      <c r="F56" s="73" t="s">
        <v>131</v>
      </c>
    </row>
    <row r="57" spans="1:6" ht="15" customHeight="1">
      <c r="A57" s="138"/>
      <c r="B57" s="128"/>
      <c r="C57" s="125"/>
      <c r="D57" s="73" t="s">
        <v>198</v>
      </c>
      <c r="E57" s="73" t="s">
        <v>198</v>
      </c>
      <c r="F57" s="73"/>
    </row>
    <row r="58" spans="1:6" ht="18" customHeight="1">
      <c r="A58" s="74" t="s">
        <v>143</v>
      </c>
      <c r="B58" s="128"/>
      <c r="C58" s="125"/>
      <c r="D58" s="77"/>
      <c r="F58" s="77"/>
    </row>
    <row r="59" spans="1:6" ht="15" customHeight="1">
      <c r="A59" s="74"/>
      <c r="B59" s="128"/>
      <c r="C59" s="125"/>
      <c r="D59" s="77"/>
      <c r="F59" s="77"/>
    </row>
    <row r="60" spans="1:6" ht="15">
      <c r="A60" s="86" t="s">
        <v>144</v>
      </c>
      <c r="B60" s="78">
        <f>IF(F60&gt;=0,F60,"")</f>
      </c>
      <c r="C60" s="79">
        <f aca="true" t="shared" si="1" ref="C60:C77">IF(F60&lt;0,F60*-1,"")</f>
        <v>2727.5</v>
      </c>
      <c r="D60" s="77">
        <v>27161.5</v>
      </c>
      <c r="E60" s="77">
        <v>29889</v>
      </c>
      <c r="F60" s="77">
        <f>D60-E60</f>
        <v>-2727.5</v>
      </c>
    </row>
    <row r="61" spans="1:6" ht="15">
      <c r="A61" s="75"/>
      <c r="B61" s="78"/>
      <c r="C61" s="79">
        <f t="shared" si="1"/>
      </c>
      <c r="D61" s="77"/>
      <c r="F61" s="77"/>
    </row>
    <row r="62" spans="1:6" ht="15">
      <c r="A62" s="75" t="s">
        <v>145</v>
      </c>
      <c r="B62" s="78"/>
      <c r="C62" s="79">
        <f t="shared" si="1"/>
      </c>
      <c r="D62" s="77"/>
      <c r="F62" s="77"/>
    </row>
    <row r="63" spans="1:6" ht="15">
      <c r="A63" s="75" t="s">
        <v>146</v>
      </c>
      <c r="B63" s="78">
        <f>IF(F63&gt;=0,F63,"")</f>
      </c>
      <c r="C63" s="79">
        <f t="shared" si="1"/>
        <v>824</v>
      </c>
      <c r="D63" s="77">
        <v>38484.8</v>
      </c>
      <c r="E63" s="77">
        <v>39308.8</v>
      </c>
      <c r="F63" s="77">
        <f>D63-E63</f>
        <v>-824</v>
      </c>
    </row>
    <row r="64" spans="1:6" ht="15">
      <c r="A64" s="75"/>
      <c r="B64" s="78"/>
      <c r="C64" s="79">
        <f t="shared" si="1"/>
      </c>
      <c r="D64" s="218"/>
      <c r="E64" s="214"/>
      <c r="F64" s="218"/>
    </row>
    <row r="65" spans="1:6" ht="15">
      <c r="A65" s="75" t="s">
        <v>147</v>
      </c>
      <c r="B65" s="78"/>
      <c r="C65" s="79">
        <f t="shared" si="1"/>
      </c>
      <c r="D65" s="218"/>
      <c r="E65" s="214"/>
      <c r="F65" s="218"/>
    </row>
    <row r="66" spans="1:6" ht="15">
      <c r="A66" s="75" t="s">
        <v>148</v>
      </c>
      <c r="B66" s="78">
        <f>IF(F66&gt;=0,F66,"")</f>
        <v>129.80000000000018</v>
      </c>
      <c r="C66" s="79">
        <f t="shared" si="1"/>
      </c>
      <c r="D66" s="77">
        <v>4156.8</v>
      </c>
      <c r="E66" s="77">
        <v>4027</v>
      </c>
      <c r="F66" s="77">
        <f>D66-E66</f>
        <v>129.80000000000018</v>
      </c>
    </row>
    <row r="67" spans="1:6" ht="15">
      <c r="A67" s="75"/>
      <c r="B67" s="78"/>
      <c r="C67" s="79">
        <f t="shared" si="1"/>
      </c>
      <c r="D67" s="218"/>
      <c r="E67" s="214"/>
      <c r="F67" s="218"/>
    </row>
    <row r="68" spans="1:6" ht="15">
      <c r="A68" s="75" t="s">
        <v>149</v>
      </c>
      <c r="B68" s="78">
        <f>IF(F68&gt;=0,F68,"")</f>
      </c>
      <c r="C68" s="79">
        <f t="shared" si="1"/>
        <v>11812.399999999994</v>
      </c>
      <c r="D68" s="77">
        <v>114450.6</v>
      </c>
      <c r="E68" s="77">
        <v>126263</v>
      </c>
      <c r="F68" s="77">
        <f>D68-E68</f>
        <v>-11812.399999999994</v>
      </c>
    </row>
    <row r="69" spans="1:6" ht="15">
      <c r="A69" s="75"/>
      <c r="B69" s="78"/>
      <c r="C69" s="79">
        <f t="shared" si="1"/>
      </c>
      <c r="D69" s="218"/>
      <c r="E69" s="214"/>
      <c r="F69" s="218"/>
    </row>
    <row r="70" spans="1:6" ht="15">
      <c r="A70" s="75" t="s">
        <v>200</v>
      </c>
      <c r="B70" s="78">
        <f>IF(F70&gt;=0,F70,"")</f>
      </c>
      <c r="C70" s="79">
        <f t="shared" si="1"/>
        <v>189</v>
      </c>
      <c r="D70" s="77">
        <v>2578</v>
      </c>
      <c r="E70" s="77">
        <v>2767</v>
      </c>
      <c r="F70" s="77">
        <f>D70-E70</f>
        <v>-189</v>
      </c>
    </row>
    <row r="71" spans="1:6" ht="15">
      <c r="A71" s="75"/>
      <c r="B71" s="78"/>
      <c r="C71" s="79">
        <f t="shared" si="1"/>
      </c>
      <c r="D71" s="218"/>
      <c r="E71" s="214"/>
      <c r="F71" s="218"/>
    </row>
    <row r="72" spans="1:6" ht="15">
      <c r="A72" s="75" t="s">
        <v>150</v>
      </c>
      <c r="B72" s="78"/>
      <c r="C72" s="79">
        <f t="shared" si="1"/>
      </c>
      <c r="D72" s="218"/>
      <c r="E72" s="214"/>
      <c r="F72" s="218"/>
    </row>
    <row r="73" spans="1:6" ht="15">
      <c r="A73" s="75" t="s">
        <v>151</v>
      </c>
      <c r="B73" s="78">
        <f>IF(F73&gt;=0,F73,"")</f>
        <v>123.20000000000005</v>
      </c>
      <c r="C73" s="79">
        <f t="shared" si="1"/>
      </c>
      <c r="D73" s="77">
        <v>616.2</v>
      </c>
      <c r="E73" s="77">
        <v>493</v>
      </c>
      <c r="F73" s="77">
        <f>D73-E73</f>
        <v>123.20000000000005</v>
      </c>
    </row>
    <row r="74" spans="1:6" ht="15">
      <c r="A74" s="75"/>
      <c r="B74" s="78"/>
      <c r="C74" s="79">
        <f t="shared" si="1"/>
      </c>
      <c r="D74" s="218"/>
      <c r="E74" s="214"/>
      <c r="F74" s="218"/>
    </row>
    <row r="75" spans="1:6" ht="15">
      <c r="A75" s="75" t="s">
        <v>152</v>
      </c>
      <c r="B75" s="78">
        <f>IF(F75&gt;=0,F75,"")</f>
      </c>
      <c r="C75" s="79">
        <f t="shared" si="1"/>
        <v>80.5</v>
      </c>
      <c r="D75" s="77">
        <v>522.5</v>
      </c>
      <c r="E75" s="77">
        <v>603</v>
      </c>
      <c r="F75" s="77">
        <f>D75-E75</f>
        <v>-80.5</v>
      </c>
    </row>
    <row r="76" spans="1:6" ht="15">
      <c r="A76" s="75"/>
      <c r="B76" s="78"/>
      <c r="C76" s="79">
        <f t="shared" si="1"/>
      </c>
      <c r="D76" s="77"/>
      <c r="F76" s="77"/>
    </row>
    <row r="77" spans="1:6" ht="15">
      <c r="A77" s="75" t="s">
        <v>218</v>
      </c>
      <c r="B77" s="78">
        <f>IF(F77&gt;=0,F77,"")</f>
        <v>2237.5999999999985</v>
      </c>
      <c r="C77" s="79">
        <f t="shared" si="1"/>
      </c>
      <c r="D77" s="77">
        <v>53908.6</v>
      </c>
      <c r="E77" s="77">
        <v>51671</v>
      </c>
      <c r="F77" s="77">
        <f>D77-E77</f>
        <v>2237.5999999999985</v>
      </c>
    </row>
    <row r="78" spans="1:6" ht="15">
      <c r="A78" s="75"/>
      <c r="B78" s="219"/>
      <c r="C78" s="217"/>
      <c r="D78" s="218"/>
      <c r="E78" s="214"/>
      <c r="F78" s="218"/>
    </row>
    <row r="79" spans="1:6" ht="15">
      <c r="A79" s="75"/>
      <c r="B79" s="219"/>
      <c r="C79" s="217"/>
      <c r="D79" s="218"/>
      <c r="E79" s="214"/>
      <c r="F79" s="218"/>
    </row>
    <row r="80" spans="1:6" ht="18.75">
      <c r="A80" s="80" t="s">
        <v>141</v>
      </c>
      <c r="B80" s="237">
        <f>SUM(B58:B79)</f>
        <v>2490.5999999999985</v>
      </c>
      <c r="C80" s="238">
        <f>SUM(C58:C79)</f>
        <v>15633.399999999994</v>
      </c>
      <c r="D80" s="77">
        <f>SUM(D60:D77)</f>
        <v>241879.00000000003</v>
      </c>
      <c r="E80" s="77">
        <f>SUM(E60:E77)</f>
        <v>255021.8</v>
      </c>
      <c r="F80" s="77">
        <f>D80-E80</f>
        <v>-13142.79999999996</v>
      </c>
    </row>
    <row r="81" spans="1:6" ht="15">
      <c r="A81" s="75"/>
      <c r="B81" s="219"/>
      <c r="C81" s="217"/>
      <c r="D81" s="218"/>
      <c r="E81" s="214"/>
      <c r="F81" s="218"/>
    </row>
    <row r="82" spans="1:6" ht="15">
      <c r="A82" s="75"/>
      <c r="B82" s="219"/>
      <c r="C82" s="217"/>
      <c r="D82" s="218"/>
      <c r="E82" s="214"/>
      <c r="F82" s="218"/>
    </row>
    <row r="83" spans="1:6" ht="18">
      <c r="A83" s="140" t="s">
        <v>153</v>
      </c>
      <c r="B83" s="239"/>
      <c r="C83" s="141">
        <f>C80-B80</f>
        <v>13142.799999999996</v>
      </c>
      <c r="D83" s="218"/>
      <c r="E83" s="214"/>
      <c r="F83" s="218"/>
    </row>
    <row r="84" spans="1:6" ht="18">
      <c r="A84" s="140" t="s">
        <v>128</v>
      </c>
      <c r="B84" s="219"/>
      <c r="C84" s="217"/>
      <c r="D84" s="218"/>
      <c r="E84" s="214"/>
      <c r="F84" s="218"/>
    </row>
    <row r="85" spans="1:6" ht="15">
      <c r="A85" s="81"/>
      <c r="B85" s="223"/>
      <c r="C85" s="224"/>
      <c r="D85" s="218"/>
      <c r="E85" s="214"/>
      <c r="F85" s="218"/>
    </row>
    <row r="86" spans="1:6" ht="15">
      <c r="A86" s="85"/>
      <c r="B86" s="225"/>
      <c r="C86" s="225"/>
      <c r="D86" s="218"/>
      <c r="E86" s="214"/>
      <c r="F86" s="218"/>
    </row>
    <row r="87" spans="1:6" ht="15.75">
      <c r="A87" s="87"/>
      <c r="B87" s="226"/>
      <c r="C87" s="226"/>
      <c r="D87" s="218"/>
      <c r="E87" s="214"/>
      <c r="F87" s="227"/>
    </row>
    <row r="88" spans="1:6" ht="18">
      <c r="A88" s="140" t="s">
        <v>154</v>
      </c>
      <c r="B88" s="219"/>
      <c r="C88" s="222"/>
      <c r="D88" s="218"/>
      <c r="E88" s="214"/>
      <c r="F88" s="218"/>
    </row>
    <row r="89" spans="1:6" ht="18">
      <c r="A89" s="140" t="s">
        <v>128</v>
      </c>
      <c r="B89" s="240">
        <f>F89*-1</f>
        <v>-13281.400000000001</v>
      </c>
      <c r="C89" s="141"/>
      <c r="D89" s="77">
        <v>67190</v>
      </c>
      <c r="E89" s="77">
        <v>53908.6</v>
      </c>
      <c r="F89" s="77">
        <f>D89-E89</f>
        <v>13281.400000000001</v>
      </c>
    </row>
    <row r="90" spans="1:6" ht="15">
      <c r="A90" s="81"/>
      <c r="B90" s="82"/>
      <c r="C90" s="82"/>
      <c r="D90" s="77"/>
      <c r="F90" s="77"/>
    </row>
    <row r="91" spans="1:6" ht="15">
      <c r="A91" s="85"/>
      <c r="B91" s="84"/>
      <c r="C91" s="84"/>
      <c r="D91" s="77"/>
      <c r="F91" s="77"/>
    </row>
    <row r="92" spans="1:6" ht="15">
      <c r="A92" s="85"/>
      <c r="B92" s="84"/>
      <c r="C92" s="84"/>
      <c r="D92" s="77"/>
      <c r="F92" s="77"/>
    </row>
    <row r="93" spans="1:6" ht="15">
      <c r="A93" s="85"/>
      <c r="B93" s="84"/>
      <c r="C93" s="84"/>
      <c r="D93" s="77"/>
      <c r="F93" s="77"/>
    </row>
    <row r="94" spans="1:6" ht="15">
      <c r="A94" s="133"/>
      <c r="B94" s="129"/>
      <c r="C94" s="134"/>
      <c r="D94" s="77"/>
      <c r="F94" s="77"/>
    </row>
    <row r="95" spans="1:6" ht="15">
      <c r="A95" s="135"/>
      <c r="B95" s="71" t="s">
        <v>126</v>
      </c>
      <c r="C95" s="72" t="s">
        <v>127</v>
      </c>
      <c r="D95" s="77"/>
      <c r="F95" s="77"/>
    </row>
    <row r="96" spans="1:5" ht="15">
      <c r="A96" s="136"/>
      <c r="B96" s="130"/>
      <c r="C96" s="137"/>
      <c r="D96" s="73" t="s">
        <v>130</v>
      </c>
      <c r="E96" s="73" t="s">
        <v>129</v>
      </c>
    </row>
    <row r="97" spans="1:6" ht="15">
      <c r="A97" s="124"/>
      <c r="B97" s="128"/>
      <c r="C97" s="125"/>
      <c r="D97" s="73">
        <v>2010</v>
      </c>
      <c r="E97" s="73">
        <v>2010</v>
      </c>
      <c r="F97" s="73" t="s">
        <v>131</v>
      </c>
    </row>
    <row r="98" spans="1:6" ht="20.25">
      <c r="A98" s="138" t="s">
        <v>155</v>
      </c>
      <c r="B98" s="95" t="s">
        <v>198</v>
      </c>
      <c r="C98" s="95" t="s">
        <v>198</v>
      </c>
      <c r="D98" s="73" t="s">
        <v>198</v>
      </c>
      <c r="E98" s="73" t="s">
        <v>198</v>
      </c>
      <c r="F98" s="73"/>
    </row>
    <row r="99" spans="1:6" ht="15">
      <c r="A99" s="124"/>
      <c r="B99" s="128"/>
      <c r="C99" s="125"/>
      <c r="D99" s="77"/>
      <c r="F99" s="77"/>
    </row>
    <row r="100" spans="1:6" ht="18">
      <c r="A100" s="74" t="s">
        <v>132</v>
      </c>
      <c r="B100" s="128"/>
      <c r="C100" s="125"/>
      <c r="D100" s="77"/>
      <c r="F100" s="77"/>
    </row>
    <row r="101" spans="1:6" ht="15">
      <c r="A101" s="75"/>
      <c r="B101" s="78"/>
      <c r="C101" s="79"/>
      <c r="D101" s="77"/>
      <c r="F101" s="77"/>
    </row>
    <row r="102" spans="1:6" ht="15">
      <c r="A102" s="75" t="s">
        <v>156</v>
      </c>
      <c r="B102" s="78">
        <f aca="true" t="shared" si="2" ref="B102:B110">IF(F102&gt;=0,F102,"")</f>
        <v>80.5</v>
      </c>
      <c r="C102" s="235">
        <f aca="true" t="shared" si="3" ref="C102:C110">IF(F102&lt;0,F102*-1,"")</f>
      </c>
      <c r="D102" s="77">
        <v>522.5</v>
      </c>
      <c r="E102" s="77">
        <v>603</v>
      </c>
      <c r="F102" s="77">
        <f>E102-D102</f>
        <v>80.5</v>
      </c>
    </row>
    <row r="103" spans="1:6" ht="15">
      <c r="A103" s="75"/>
      <c r="B103" s="78"/>
      <c r="C103" s="235">
        <f t="shared" si="3"/>
      </c>
      <c r="D103" s="77"/>
      <c r="F103" s="77"/>
    </row>
    <row r="104" spans="1:6" ht="15">
      <c r="A104" s="75" t="s">
        <v>212</v>
      </c>
      <c r="B104" s="78">
        <f t="shared" si="2"/>
        <v>0</v>
      </c>
      <c r="C104" s="235">
        <f t="shared" si="3"/>
      </c>
      <c r="D104" s="77">
        <v>0</v>
      </c>
      <c r="E104" s="77">
        <v>0</v>
      </c>
      <c r="F104" s="77">
        <f aca="true" t="shared" si="4" ref="F104:F112">E104-D104</f>
        <v>0</v>
      </c>
    </row>
    <row r="105" spans="1:6" ht="15">
      <c r="A105" s="75"/>
      <c r="B105" s="78"/>
      <c r="C105" s="235">
        <f t="shared" si="3"/>
      </c>
      <c r="D105" s="77"/>
      <c r="F105" s="77"/>
    </row>
    <row r="106" spans="1:6" ht="15">
      <c r="A106" s="166" t="s">
        <v>207</v>
      </c>
      <c r="B106" s="78">
        <f t="shared" si="2"/>
        <v>7.899999999999977</v>
      </c>
      <c r="C106" s="235">
        <f t="shared" si="3"/>
      </c>
      <c r="D106" s="77">
        <v>826.1</v>
      </c>
      <c r="E106" s="77">
        <v>834</v>
      </c>
      <c r="F106" s="77">
        <f t="shared" si="4"/>
        <v>7.899999999999977</v>
      </c>
    </row>
    <row r="107" spans="1:6" ht="15">
      <c r="A107" s="75"/>
      <c r="B107" s="78"/>
      <c r="C107" s="235">
        <f t="shared" si="3"/>
      </c>
      <c r="D107" s="77"/>
      <c r="F107" s="77"/>
    </row>
    <row r="108" spans="1:6" ht="15">
      <c r="A108" s="75" t="s">
        <v>157</v>
      </c>
      <c r="B108" s="78">
        <f t="shared" si="2"/>
      </c>
      <c r="C108" s="235">
        <f t="shared" si="3"/>
        <v>3553.8</v>
      </c>
      <c r="D108" s="77">
        <v>6482.8</v>
      </c>
      <c r="E108" s="77">
        <v>2929</v>
      </c>
      <c r="F108" s="77">
        <f t="shared" si="4"/>
        <v>-3553.8</v>
      </c>
    </row>
    <row r="109" spans="1:6" ht="15">
      <c r="A109" s="75"/>
      <c r="B109" s="78"/>
      <c r="C109" s="235">
        <f t="shared" si="3"/>
      </c>
      <c r="D109" s="77"/>
      <c r="F109" s="77"/>
    </row>
    <row r="110" spans="1:6" ht="15">
      <c r="A110" s="75" t="s">
        <v>158</v>
      </c>
      <c r="B110" s="78">
        <f t="shared" si="2"/>
        <v>3713.5</v>
      </c>
      <c r="C110" s="235">
        <f t="shared" si="3"/>
      </c>
      <c r="D110" s="77">
        <v>3780.5</v>
      </c>
      <c r="E110" s="77">
        <v>7494</v>
      </c>
      <c r="F110" s="77">
        <f t="shared" si="4"/>
        <v>3713.5</v>
      </c>
    </row>
    <row r="111" spans="1:6" ht="15">
      <c r="A111" s="75"/>
      <c r="B111" s="78"/>
      <c r="C111" s="79"/>
      <c r="D111" s="77"/>
      <c r="F111" s="77"/>
    </row>
    <row r="112" spans="1:6" ht="18.75">
      <c r="A112" s="80" t="s">
        <v>141</v>
      </c>
      <c r="B112" s="237">
        <f>SUM(B102:B110)</f>
        <v>3801.9</v>
      </c>
      <c r="C112" s="237">
        <f>SUM(C102:C110)</f>
        <v>3553.8</v>
      </c>
      <c r="D112" s="77">
        <f>SUM(D102:D111)</f>
        <v>11611.9</v>
      </c>
      <c r="E112" s="77">
        <f>SUM(E102:E110)</f>
        <v>11860</v>
      </c>
      <c r="F112" s="77">
        <f t="shared" si="4"/>
        <v>248.10000000000036</v>
      </c>
    </row>
    <row r="113" spans="1:6" ht="15">
      <c r="A113" s="75"/>
      <c r="B113" s="78"/>
      <c r="C113" s="79"/>
      <c r="D113" s="77"/>
      <c r="F113" s="218"/>
    </row>
    <row r="114" spans="1:6" ht="16.5">
      <c r="A114" s="115" t="s">
        <v>142</v>
      </c>
      <c r="B114" s="78"/>
      <c r="C114" s="79"/>
      <c r="D114" s="77"/>
      <c r="F114" s="218"/>
    </row>
    <row r="115" spans="1:6" ht="16.5">
      <c r="A115" s="115" t="s">
        <v>155</v>
      </c>
      <c r="B115" s="141"/>
      <c r="C115" s="141">
        <f>C112-B112</f>
        <v>-248.0999999999999</v>
      </c>
      <c r="D115" s="77"/>
      <c r="E115" s="77"/>
      <c r="F115" s="218"/>
    </row>
    <row r="116" spans="1:6" ht="15">
      <c r="A116" s="75"/>
      <c r="B116" s="219"/>
      <c r="C116" s="217"/>
      <c r="D116" s="218"/>
      <c r="F116" s="218"/>
    </row>
    <row r="117" spans="1:6" ht="18">
      <c r="A117" s="74" t="s">
        <v>143</v>
      </c>
      <c r="B117" s="219"/>
      <c r="C117" s="217"/>
      <c r="D117" s="218"/>
      <c r="F117" s="218"/>
    </row>
    <row r="118" spans="1:6" ht="15" customHeight="1">
      <c r="A118" s="86"/>
      <c r="B118" s="219"/>
      <c r="C118" s="217"/>
      <c r="D118" s="218"/>
      <c r="F118" s="218"/>
    </row>
    <row r="119" spans="1:6" ht="15" customHeight="1">
      <c r="A119" s="86" t="s">
        <v>194</v>
      </c>
      <c r="B119" s="78">
        <f aca="true" t="shared" si="5" ref="B119:B130">IF(F119&gt;=0,F119,"")</f>
        <v>0</v>
      </c>
      <c r="C119" s="235">
        <f aca="true" t="shared" si="6" ref="C119:C130">IF(F119&lt;0,F119*-1,"")</f>
      </c>
      <c r="D119" s="77">
        <v>0</v>
      </c>
      <c r="E119" s="77">
        <v>0</v>
      </c>
      <c r="F119" s="77">
        <f>D119-E119</f>
        <v>0</v>
      </c>
    </row>
    <row r="120" spans="1:6" ht="15" customHeight="1">
      <c r="A120" s="86"/>
      <c r="B120" s="78"/>
      <c r="C120" s="235">
        <f t="shared" si="6"/>
      </c>
      <c r="D120" s="77"/>
      <c r="F120" s="77"/>
    </row>
    <row r="121" spans="1:6" ht="15" customHeight="1">
      <c r="A121" s="86" t="s">
        <v>195</v>
      </c>
      <c r="B121" s="78">
        <f t="shared" si="5"/>
      </c>
      <c r="C121" s="235">
        <f t="shared" si="6"/>
        <v>8</v>
      </c>
      <c r="D121" s="77">
        <v>41</v>
      </c>
      <c r="E121" s="77">
        <v>49</v>
      </c>
      <c r="F121" s="77">
        <f>D121-E121</f>
        <v>-8</v>
      </c>
    </row>
    <row r="122" spans="1:6" ht="15">
      <c r="A122" s="75"/>
      <c r="B122" s="78"/>
      <c r="C122" s="235">
        <f t="shared" si="6"/>
      </c>
      <c r="D122" s="77"/>
      <c r="F122" s="77"/>
    </row>
    <row r="123" spans="1:6" ht="15">
      <c r="A123" s="75" t="s">
        <v>159</v>
      </c>
      <c r="B123" s="78">
        <f t="shared" si="5"/>
        <v>139.19999999999982</v>
      </c>
      <c r="C123" s="235">
        <f t="shared" si="6"/>
      </c>
      <c r="D123" s="77">
        <v>3578.2</v>
      </c>
      <c r="E123" s="77">
        <v>3439</v>
      </c>
      <c r="F123" s="77">
        <f>D123-E123</f>
        <v>139.19999999999982</v>
      </c>
    </row>
    <row r="124" spans="1:6" ht="15" customHeight="1">
      <c r="A124" s="88" t="s">
        <v>160</v>
      </c>
      <c r="B124" s="78"/>
      <c r="C124" s="235"/>
      <c r="D124" s="77"/>
      <c r="E124" s="77"/>
      <c r="F124" s="77"/>
    </row>
    <row r="125" spans="1:6" ht="15">
      <c r="A125" s="75"/>
      <c r="B125" s="78"/>
      <c r="C125" s="235">
        <f t="shared" si="6"/>
      </c>
      <c r="D125" s="77"/>
      <c r="F125" s="77"/>
    </row>
    <row r="126" spans="1:6" ht="15">
      <c r="A126" s="75" t="s">
        <v>161</v>
      </c>
      <c r="B126" s="78">
        <f t="shared" si="5"/>
      </c>
      <c r="C126" s="235">
        <f t="shared" si="6"/>
        <v>702.8</v>
      </c>
      <c r="D126" s="77">
        <v>1592.2</v>
      </c>
      <c r="E126" s="77">
        <v>2295</v>
      </c>
      <c r="F126" s="77">
        <f>D126-E126</f>
        <v>-702.8</v>
      </c>
    </row>
    <row r="127" spans="1:6" ht="15">
      <c r="A127" s="75"/>
      <c r="B127" s="78"/>
      <c r="C127" s="235">
        <f t="shared" si="6"/>
      </c>
      <c r="D127" s="77"/>
      <c r="F127" s="77"/>
    </row>
    <row r="128" spans="1:6" ht="15">
      <c r="A128" s="75" t="s">
        <v>162</v>
      </c>
      <c r="B128" s="78">
        <f t="shared" si="5"/>
        <v>405</v>
      </c>
      <c r="C128" s="235">
        <f t="shared" si="6"/>
      </c>
      <c r="D128" s="77">
        <v>5878</v>
      </c>
      <c r="E128" s="77">
        <v>5473</v>
      </c>
      <c r="F128" s="77">
        <f>D128-E128</f>
        <v>405</v>
      </c>
    </row>
    <row r="129" spans="1:6" ht="15">
      <c r="A129" s="75"/>
      <c r="B129" s="78"/>
      <c r="C129" s="235">
        <f t="shared" si="6"/>
      </c>
      <c r="D129" s="77"/>
      <c r="F129" s="77"/>
    </row>
    <row r="130" spans="1:6" ht="15">
      <c r="A130" s="75" t="s">
        <v>163</v>
      </c>
      <c r="B130" s="78">
        <f t="shared" si="5"/>
      </c>
      <c r="C130" s="235">
        <f t="shared" si="6"/>
        <v>80.5</v>
      </c>
      <c r="D130" s="77">
        <v>522.5</v>
      </c>
      <c r="E130" s="77">
        <v>603</v>
      </c>
      <c r="F130" s="77">
        <f>D130-E130</f>
        <v>-80.5</v>
      </c>
    </row>
    <row r="131" spans="1:6" ht="15">
      <c r="A131" s="75"/>
      <c r="B131" s="78"/>
      <c r="C131" s="79"/>
      <c r="D131" s="77"/>
      <c r="F131" s="77"/>
    </row>
    <row r="132" spans="1:6" ht="18.75">
      <c r="A132" s="80" t="s">
        <v>141</v>
      </c>
      <c r="B132" s="237">
        <f>SUM(B119:B130)</f>
        <v>544.1999999999998</v>
      </c>
      <c r="C132" s="238">
        <f>SUM(C119:C130)</f>
        <v>791.3</v>
      </c>
      <c r="D132" s="77"/>
      <c r="F132" s="77"/>
    </row>
    <row r="133" spans="1:7" ht="15">
      <c r="A133" s="75"/>
      <c r="B133" s="78"/>
      <c r="C133" s="79"/>
      <c r="D133" s="77">
        <f>SUM(D119:D130)</f>
        <v>11611.9</v>
      </c>
      <c r="E133" s="77">
        <f>SUM(E119:E130)</f>
        <v>11859</v>
      </c>
      <c r="F133" s="77">
        <f>D133-E133</f>
        <v>-247.10000000000036</v>
      </c>
      <c r="G133" s="142"/>
    </row>
    <row r="134" spans="1:6" ht="16.5">
      <c r="A134" s="115" t="s">
        <v>153</v>
      </c>
      <c r="B134" s="78"/>
      <c r="C134" s="79"/>
      <c r="D134" s="77"/>
      <c r="E134" s="218"/>
      <c r="F134" s="218"/>
    </row>
    <row r="135" spans="1:6" ht="16.5">
      <c r="A135" s="115" t="s">
        <v>155</v>
      </c>
      <c r="B135" s="141"/>
      <c r="C135" s="141">
        <f>C132-B132</f>
        <v>247.10000000000014</v>
      </c>
      <c r="D135" s="77"/>
      <c r="E135" s="218"/>
      <c r="F135" s="218"/>
    </row>
    <row r="136" spans="1:6" ht="15">
      <c r="A136" s="81"/>
      <c r="B136" s="82"/>
      <c r="C136" s="83"/>
      <c r="D136" s="77"/>
      <c r="F136" s="77"/>
    </row>
  </sheetData>
  <mergeCells count="1">
    <mergeCell ref="D44:E44"/>
  </mergeCells>
  <printOptions horizontalCentered="1"/>
  <pageMargins left="0.7874015748031497" right="0.7874015748031497" top="0.7" bottom="0.984251968503937" header="0.5118110236220472" footer="0.5118110236220472"/>
  <pageSetup firstPageNumber="18" useFirstPageNumber="1" fitToHeight="5" horizontalDpi="300" verticalDpi="300" orientation="portrait" scale="95" r:id="rId3"/>
  <headerFooter alignWithMargins="0">
    <oddHeader>&amp;C&amp;"Arial,Fett"&amp;14Seite V &amp;P
</oddHeader>
    <oddFooter xml:space="preserve">&amp;C </oddFooter>
  </headerFooter>
  <rowBreaks count="2" manualBreakCount="2">
    <brk id="46" max="2" man="1"/>
    <brk id="90" max="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T26" sqref="T26"/>
    </sheetView>
  </sheetViews>
  <sheetFormatPr defaultColWidth="11.421875" defaultRowHeight="12.75"/>
  <cols>
    <col min="1" max="1" width="6.8515625" style="116" customWidth="1"/>
    <col min="2" max="2" width="24.28125" style="116" customWidth="1"/>
    <col min="3" max="7" width="7.00390625" style="116" hidden="1" customWidth="1"/>
    <col min="8" max="9" width="7.00390625" style="116" customWidth="1"/>
    <col min="10" max="11" width="7.00390625" style="116" bestFit="1" customWidth="1"/>
    <col min="12" max="12" width="7.00390625" style="116" customWidth="1"/>
    <col min="13" max="13" width="7.00390625" style="172" customWidth="1"/>
    <col min="14" max="14" width="7.421875" style="116" bestFit="1" customWidth="1"/>
    <col min="15" max="15" width="7.421875" style="116" customWidth="1"/>
    <col min="16" max="16384" width="11.421875" style="116" customWidth="1"/>
  </cols>
  <sheetData>
    <row r="1" spans="1:4" ht="18">
      <c r="A1" s="106" t="s">
        <v>203</v>
      </c>
      <c r="B1" s="104"/>
      <c r="C1" s="100"/>
      <c r="D1" s="1"/>
    </row>
    <row r="2" spans="1:4" ht="15">
      <c r="A2" s="145"/>
      <c r="B2" s="146"/>
      <c r="C2" s="2"/>
      <c r="D2" s="2"/>
    </row>
    <row r="3" spans="1:4" ht="15">
      <c r="A3" s="105" t="s">
        <v>95</v>
      </c>
      <c r="B3" s="147"/>
      <c r="C3" s="2"/>
      <c r="D3" s="2"/>
    </row>
    <row r="4" spans="1:4" ht="15">
      <c r="A4" s="10"/>
      <c r="B4" s="146"/>
      <c r="C4" s="2"/>
      <c r="D4" s="2"/>
    </row>
    <row r="5" spans="1:15" ht="15">
      <c r="A5" s="148"/>
      <c r="B5" s="149"/>
      <c r="C5" s="91" t="s">
        <v>18</v>
      </c>
      <c r="D5" s="91" t="s">
        <v>18</v>
      </c>
      <c r="E5" s="91" t="s">
        <v>18</v>
      </c>
      <c r="F5" s="91" t="s">
        <v>18</v>
      </c>
      <c r="G5" s="91" t="s">
        <v>18</v>
      </c>
      <c r="H5" s="91" t="s">
        <v>18</v>
      </c>
      <c r="I5" s="91" t="s">
        <v>18</v>
      </c>
      <c r="J5" s="91" t="s">
        <v>18</v>
      </c>
      <c r="K5" s="91" t="s">
        <v>18</v>
      </c>
      <c r="L5" s="91" t="s">
        <v>18</v>
      </c>
      <c r="M5" s="245" t="s">
        <v>18</v>
      </c>
      <c r="N5" s="229" t="s">
        <v>19</v>
      </c>
      <c r="O5" s="229" t="s">
        <v>19</v>
      </c>
    </row>
    <row r="6" spans="1:15" ht="12.75">
      <c r="A6" s="11" t="s">
        <v>20</v>
      </c>
      <c r="B6" s="30" t="s">
        <v>21</v>
      </c>
      <c r="C6" s="12">
        <v>1997</v>
      </c>
      <c r="D6" s="30">
        <v>1998</v>
      </c>
      <c r="E6" s="13">
        <v>1999</v>
      </c>
      <c r="F6" s="13">
        <v>2000</v>
      </c>
      <c r="G6" s="13">
        <v>2001</v>
      </c>
      <c r="H6" s="30">
        <v>2003</v>
      </c>
      <c r="I6" s="30">
        <v>2004</v>
      </c>
      <c r="J6" s="30">
        <v>2005</v>
      </c>
      <c r="K6" s="30">
        <v>2006</v>
      </c>
      <c r="L6" s="30">
        <v>2007</v>
      </c>
      <c r="M6" s="230">
        <v>2008</v>
      </c>
      <c r="N6" s="230">
        <v>2009</v>
      </c>
      <c r="O6" s="230">
        <v>2010</v>
      </c>
    </row>
    <row r="7" spans="1:15" ht="12.75">
      <c r="A7" s="11"/>
      <c r="B7" s="30" t="s">
        <v>0</v>
      </c>
      <c r="C7" s="38" t="s">
        <v>198</v>
      </c>
      <c r="D7" s="38" t="s">
        <v>198</v>
      </c>
      <c r="E7" s="38" t="s">
        <v>198</v>
      </c>
      <c r="F7" s="38" t="s">
        <v>198</v>
      </c>
      <c r="G7" s="38" t="s">
        <v>198</v>
      </c>
      <c r="H7" s="38" t="s">
        <v>198</v>
      </c>
      <c r="I7" s="38" t="s">
        <v>198</v>
      </c>
      <c r="J7" s="38" t="s">
        <v>198</v>
      </c>
      <c r="K7" s="38" t="s">
        <v>198</v>
      </c>
      <c r="L7" s="38" t="s">
        <v>198</v>
      </c>
      <c r="M7" s="230" t="s">
        <v>198</v>
      </c>
      <c r="N7" s="230" t="s">
        <v>198</v>
      </c>
      <c r="O7" s="230" t="s">
        <v>198</v>
      </c>
    </row>
    <row r="8" spans="1:15" ht="12.75">
      <c r="A8" s="124"/>
      <c r="B8" s="128"/>
      <c r="C8" s="128"/>
      <c r="D8" s="132"/>
      <c r="E8" s="128"/>
      <c r="F8" s="125"/>
      <c r="G8" s="125"/>
      <c r="H8" s="125"/>
      <c r="I8" s="125"/>
      <c r="J8" s="125"/>
      <c r="K8" s="125"/>
      <c r="L8" s="128"/>
      <c r="M8" s="179"/>
      <c r="N8" s="179"/>
      <c r="O8" s="179"/>
    </row>
    <row r="9" spans="1:15" ht="24">
      <c r="A9" s="61" t="s">
        <v>96</v>
      </c>
      <c r="B9" s="31" t="s">
        <v>97</v>
      </c>
      <c r="C9" s="15">
        <f>5390524/1.95583</f>
        <v>2756131.1565933647</v>
      </c>
      <c r="D9" s="39">
        <f>5642645.58/1.95583</f>
        <v>2885038.8735217275</v>
      </c>
      <c r="E9" s="65">
        <f>6280411.79/1.95583</f>
        <v>3211123.55879601</v>
      </c>
      <c r="F9" s="65">
        <f>6535104.02/1.95583</f>
        <v>3341345.62819877</v>
      </c>
      <c r="G9" s="65">
        <f>6876537.82/1.95583</f>
        <v>3515917.9581047436</v>
      </c>
      <c r="H9" s="39">
        <v>3245464.68</v>
      </c>
      <c r="I9" s="39">
        <v>561550.86</v>
      </c>
      <c r="J9" s="174">
        <v>603</v>
      </c>
      <c r="K9" s="174">
        <v>646</v>
      </c>
      <c r="L9" s="175">
        <v>676</v>
      </c>
      <c r="M9" s="179">
        <v>708.2</v>
      </c>
      <c r="N9" s="179">
        <v>766.3</v>
      </c>
      <c r="O9" s="179">
        <v>602.8</v>
      </c>
    </row>
    <row r="10" spans="1:15" ht="15">
      <c r="A10" s="62"/>
      <c r="B10" s="59"/>
      <c r="C10" s="19"/>
      <c r="D10" s="144"/>
      <c r="E10" s="150"/>
      <c r="F10" s="150"/>
      <c r="G10" s="150"/>
      <c r="H10" s="39"/>
      <c r="I10" s="39"/>
      <c r="J10" s="174"/>
      <c r="K10" s="174"/>
      <c r="L10" s="128"/>
      <c r="M10" s="179"/>
      <c r="N10" s="179"/>
      <c r="O10" s="179"/>
    </row>
    <row r="11" spans="1:15" ht="12.75">
      <c r="A11" s="61" t="s">
        <v>98</v>
      </c>
      <c r="B11" s="31" t="s">
        <v>99</v>
      </c>
      <c r="C11" s="15">
        <v>0</v>
      </c>
      <c r="D11" s="39">
        <v>0</v>
      </c>
      <c r="E11" s="65">
        <v>0</v>
      </c>
      <c r="F11" s="65">
        <v>0</v>
      </c>
      <c r="G11" s="65">
        <v>0</v>
      </c>
      <c r="H11" s="39">
        <v>0</v>
      </c>
      <c r="I11" s="39">
        <v>0</v>
      </c>
      <c r="J11" s="174">
        <v>656</v>
      </c>
      <c r="K11" s="174">
        <v>2248</v>
      </c>
      <c r="L11" s="68">
        <v>0</v>
      </c>
      <c r="M11" s="179">
        <v>0</v>
      </c>
      <c r="N11" s="179">
        <v>0</v>
      </c>
      <c r="O11" s="179">
        <v>0</v>
      </c>
    </row>
    <row r="12" spans="1:15" ht="12.75">
      <c r="A12" s="61"/>
      <c r="B12" s="31"/>
      <c r="C12" s="19"/>
      <c r="D12" s="144"/>
      <c r="E12" s="150"/>
      <c r="F12" s="150"/>
      <c r="G12" s="150"/>
      <c r="H12" s="39"/>
      <c r="I12" s="39"/>
      <c r="J12" s="174"/>
      <c r="K12" s="174"/>
      <c r="L12" s="128"/>
      <c r="M12" s="179"/>
      <c r="N12" s="179"/>
      <c r="O12" s="179"/>
    </row>
    <row r="13" spans="1:15" ht="12.75">
      <c r="A13" s="61" t="s">
        <v>100</v>
      </c>
      <c r="B13" s="31" t="s">
        <v>101</v>
      </c>
      <c r="C13" s="19">
        <f>2125267/1.95583</f>
        <v>1086631.7624742438</v>
      </c>
      <c r="D13" s="40">
        <f>2329677.22/1.95583</f>
        <v>1191145.0483937766</v>
      </c>
      <c r="E13" s="65">
        <f>2444252.22/1.95583</f>
        <v>1249726.3156818333</v>
      </c>
      <c r="F13" s="65">
        <f>2417565.06/1.95583</f>
        <v>1236081.3874416489</v>
      </c>
      <c r="G13" s="65">
        <f>2542486.05/1.95583</f>
        <v>1299952.4754196426</v>
      </c>
      <c r="H13" s="39">
        <v>1230072.76</v>
      </c>
      <c r="I13" s="39">
        <v>1275757.24</v>
      </c>
      <c r="J13" s="174">
        <v>1301</v>
      </c>
      <c r="K13" s="174">
        <v>1299</v>
      </c>
      <c r="L13" s="174">
        <v>1216</v>
      </c>
      <c r="M13" s="179">
        <v>1074.8</v>
      </c>
      <c r="N13" s="179">
        <v>936.5</v>
      </c>
      <c r="O13" s="179">
        <v>823.6</v>
      </c>
    </row>
    <row r="14" spans="1:15" ht="12.75">
      <c r="A14" s="61"/>
      <c r="B14" s="31"/>
      <c r="C14" s="19"/>
      <c r="D14" s="144"/>
      <c r="E14" s="65"/>
      <c r="F14" s="65"/>
      <c r="G14" s="65"/>
      <c r="H14" s="39"/>
      <c r="I14" s="39"/>
      <c r="J14" s="174"/>
      <c r="K14" s="174"/>
      <c r="L14" s="182"/>
      <c r="M14" s="179"/>
      <c r="N14" s="179"/>
      <c r="O14" s="179"/>
    </row>
    <row r="15" spans="1:15" ht="24">
      <c r="A15" s="61" t="s">
        <v>102</v>
      </c>
      <c r="B15" s="31" t="s">
        <v>103</v>
      </c>
      <c r="C15" s="19">
        <f>(1030164+19300)/1.95583</f>
        <v>536582.4228077083</v>
      </c>
      <c r="D15" s="40">
        <f>(39.42+1700914.7)/1.95583</f>
        <v>869684.0318432583</v>
      </c>
      <c r="E15" s="65">
        <f>2409827.04/1.95583</f>
        <v>1232125.000639115</v>
      </c>
      <c r="F15" s="65">
        <f>(25000+500293.68)/1.95583</f>
        <v>268578.3938276844</v>
      </c>
      <c r="G15" s="65">
        <f>2592305.07/1.95583</f>
        <v>1325424.5358747947</v>
      </c>
      <c r="H15" s="39">
        <v>3892270.96</v>
      </c>
      <c r="I15" s="39">
        <v>8458074.87</v>
      </c>
      <c r="J15" s="174">
        <v>239</v>
      </c>
      <c r="K15" s="174">
        <v>152</v>
      </c>
      <c r="L15" s="174">
        <v>91</v>
      </c>
      <c r="M15" s="179">
        <v>103.6</v>
      </c>
      <c r="N15" s="179">
        <v>9.9</v>
      </c>
      <c r="O15" s="179">
        <v>9.8</v>
      </c>
    </row>
    <row r="16" spans="1:15" ht="12.75">
      <c r="A16" s="61" t="s">
        <v>220</v>
      </c>
      <c r="B16" s="31" t="s">
        <v>221</v>
      </c>
      <c r="C16" s="19"/>
      <c r="D16" s="144"/>
      <c r="E16" s="65"/>
      <c r="F16" s="65"/>
      <c r="G16" s="65"/>
      <c r="H16" s="39">
        <v>0</v>
      </c>
      <c r="I16" s="39">
        <v>0</v>
      </c>
      <c r="J16" s="174">
        <v>14</v>
      </c>
      <c r="K16" s="174">
        <v>18</v>
      </c>
      <c r="L16" s="174">
        <v>58</v>
      </c>
      <c r="M16" s="179">
        <v>0</v>
      </c>
      <c r="N16" s="179">
        <v>0</v>
      </c>
      <c r="O16" s="179">
        <v>0</v>
      </c>
    </row>
    <row r="17" spans="1:15" ht="24">
      <c r="A17" s="61" t="s">
        <v>104</v>
      </c>
      <c r="B17" s="31" t="s">
        <v>105</v>
      </c>
      <c r="C17" s="19">
        <f>19034605/1.95583</f>
        <v>9732238.998276947</v>
      </c>
      <c r="D17" s="40">
        <f>13724110.56/1.95583</f>
        <v>7017026.305967288</v>
      </c>
      <c r="E17" s="65">
        <f>11069283.52/1.95583</f>
        <v>5659634.794435099</v>
      </c>
      <c r="F17" s="65">
        <f>12238671.61/1.95583</f>
        <v>6257533.430819652</v>
      </c>
      <c r="G17" s="65">
        <f>17116484.86/1.95583</f>
        <v>8751519.743535992</v>
      </c>
      <c r="H17" s="39">
        <v>7635631.58</v>
      </c>
      <c r="I17" s="39">
        <v>5955727.07</v>
      </c>
      <c r="J17" s="174">
        <v>7465</v>
      </c>
      <c r="K17" s="174">
        <v>4018</v>
      </c>
      <c r="L17" s="174">
        <v>5030</v>
      </c>
      <c r="M17" s="179">
        <v>4831</v>
      </c>
      <c r="N17" s="179">
        <v>4946.1</v>
      </c>
      <c r="O17" s="179">
        <v>2928.8</v>
      </c>
    </row>
    <row r="18" spans="1:15" ht="12.75">
      <c r="A18" s="61"/>
      <c r="B18" s="31"/>
      <c r="C18" s="19"/>
      <c r="D18" s="144"/>
      <c r="E18" s="65"/>
      <c r="F18" s="65"/>
      <c r="G18" s="65"/>
      <c r="H18" s="39"/>
      <c r="I18" s="39"/>
      <c r="J18" s="174"/>
      <c r="K18" s="174"/>
      <c r="L18" s="174"/>
      <c r="M18" s="179"/>
      <c r="N18" s="179"/>
      <c r="O18" s="179"/>
    </row>
    <row r="19" spans="1:15" ht="12.75">
      <c r="A19" s="61" t="s">
        <v>106</v>
      </c>
      <c r="B19" s="31" t="s">
        <v>107</v>
      </c>
      <c r="C19" s="19">
        <f>2262800/1.95583</f>
        <v>1156951.2687708032</v>
      </c>
      <c r="D19" s="40">
        <f>7520000/1.95583</f>
        <v>3844914.946595563</v>
      </c>
      <c r="E19" s="65">
        <f>(9558051.41-2425355.4)/1.95583</f>
        <v>3646889.560953662</v>
      </c>
      <c r="F19" s="65">
        <f>15255828.71/1.95583</f>
        <v>7800181.36034318</v>
      </c>
      <c r="G19" s="65">
        <f>15522094.95/1.95583</f>
        <v>7936321.127091823</v>
      </c>
      <c r="H19" s="39">
        <v>8394267.47</v>
      </c>
      <c r="I19" s="39">
        <v>0</v>
      </c>
      <c r="J19" s="174">
        <v>0</v>
      </c>
      <c r="K19" s="174">
        <v>0</v>
      </c>
      <c r="L19" s="174">
        <v>1633</v>
      </c>
      <c r="M19" s="179">
        <v>3981.9</v>
      </c>
      <c r="N19" s="179">
        <v>7658.7</v>
      </c>
      <c r="O19" s="179">
        <v>7493.5</v>
      </c>
    </row>
    <row r="20" spans="1:15" ht="12.75">
      <c r="A20" s="61"/>
      <c r="B20" s="31"/>
      <c r="C20" s="19"/>
      <c r="D20" s="165"/>
      <c r="E20" s="65"/>
      <c r="F20" s="65"/>
      <c r="G20" s="65"/>
      <c r="H20" s="65"/>
      <c r="I20" s="65"/>
      <c r="J20" s="179"/>
      <c r="K20" s="179"/>
      <c r="L20" s="174"/>
      <c r="M20" s="179"/>
      <c r="N20" s="179"/>
      <c r="O20" s="179"/>
    </row>
    <row r="21" spans="1:15" ht="12.75" customHeight="1">
      <c r="A21" s="61" t="s">
        <v>205</v>
      </c>
      <c r="B21" s="31" t="s">
        <v>206</v>
      </c>
      <c r="C21" s="19"/>
      <c r="D21" s="165">
        <v>0</v>
      </c>
      <c r="E21" s="65">
        <v>0</v>
      </c>
      <c r="F21" s="65">
        <v>0</v>
      </c>
      <c r="G21" s="65">
        <v>0</v>
      </c>
      <c r="H21" s="65">
        <v>-18000</v>
      </c>
      <c r="I21" s="65">
        <v>16000</v>
      </c>
      <c r="J21" s="179">
        <v>14</v>
      </c>
      <c r="K21" s="179">
        <v>1</v>
      </c>
      <c r="L21" s="174">
        <v>-2</v>
      </c>
      <c r="M21" s="179">
        <v>-11</v>
      </c>
      <c r="N21" s="179">
        <v>0</v>
      </c>
      <c r="O21" s="179">
        <v>0</v>
      </c>
    </row>
    <row r="22" spans="1:15" ht="12.75">
      <c r="A22" s="61"/>
      <c r="B22" s="31"/>
      <c r="C22" s="40"/>
      <c r="D22" s="19"/>
      <c r="E22" s="40"/>
      <c r="F22" s="65"/>
      <c r="G22" s="65"/>
      <c r="H22" s="65"/>
      <c r="I22" s="65"/>
      <c r="J22" s="179"/>
      <c r="K22" s="179"/>
      <c r="L22" s="161"/>
      <c r="M22" s="179"/>
      <c r="N22" s="179"/>
      <c r="O22" s="179"/>
    </row>
    <row r="23" spans="1:15" ht="24">
      <c r="A23" s="58"/>
      <c r="B23" s="36" t="s">
        <v>108</v>
      </c>
      <c r="C23" s="64">
        <f>SUM(C9:C19)</f>
        <v>15268535.608923066</v>
      </c>
      <c r="D23" s="64">
        <f>SUM(D9:D19)</f>
        <v>15807809.206321614</v>
      </c>
      <c r="E23" s="64">
        <f>SUM(E9:E19)</f>
        <v>14999499.230505718</v>
      </c>
      <c r="F23" s="64">
        <f>SUM(F9:F19)</f>
        <v>18903720.200630937</v>
      </c>
      <c r="G23" s="64">
        <f>SUM(G9:G19)</f>
        <v>22829135.840026997</v>
      </c>
      <c r="H23" s="151">
        <f>SUM(H9:H21)</f>
        <v>24379707.450000003</v>
      </c>
      <c r="I23" s="151">
        <f>SUM(I9:I21)</f>
        <v>16267110.04</v>
      </c>
      <c r="J23" s="154">
        <f>SUM(J9:J21)</f>
        <v>10292</v>
      </c>
      <c r="K23" s="154">
        <f>SUM(K9:K21)</f>
        <v>8382</v>
      </c>
      <c r="L23" s="46">
        <f>SUM(L9:L22)</f>
        <v>8702</v>
      </c>
      <c r="M23" s="163">
        <f>SUM(M9:M22)</f>
        <v>10688.5</v>
      </c>
      <c r="N23" s="163">
        <f>SUM(N9:N22)</f>
        <v>14317.5</v>
      </c>
      <c r="O23" s="163">
        <f>SUM(O9:O22)</f>
        <v>11858.5</v>
      </c>
    </row>
    <row r="24" spans="1:15" ht="15">
      <c r="A24" s="58"/>
      <c r="B24" s="36"/>
      <c r="C24" s="42"/>
      <c r="D24" s="152"/>
      <c r="E24" s="153"/>
      <c r="F24" s="154"/>
      <c r="G24" s="154"/>
      <c r="H24" s="154"/>
      <c r="I24" s="154"/>
      <c r="J24" s="154"/>
      <c r="K24" s="154"/>
      <c r="L24" s="90"/>
      <c r="M24" s="178"/>
      <c r="N24" s="178"/>
      <c r="O24" s="178"/>
    </row>
    <row r="25" spans="1:15" ht="12.7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M25" s="179"/>
      <c r="N25" s="179"/>
      <c r="O25" s="179"/>
    </row>
    <row r="26" spans="1:15" ht="12.7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M26" s="179"/>
      <c r="N26" s="179"/>
      <c r="O26" s="179"/>
    </row>
    <row r="27" spans="1:15" ht="15">
      <c r="A27" s="145" t="s">
        <v>222</v>
      </c>
      <c r="B27" s="155"/>
      <c r="C27" s="132"/>
      <c r="D27" s="132"/>
      <c r="E27" s="132"/>
      <c r="F27" s="132"/>
      <c r="G27" s="132"/>
      <c r="H27" s="132"/>
      <c r="I27" s="132"/>
      <c r="J27" s="132"/>
      <c r="K27" s="132"/>
      <c r="M27" s="179"/>
      <c r="N27" s="179"/>
      <c r="O27" s="179"/>
    </row>
    <row r="28" spans="1:15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M28" s="179"/>
      <c r="N28" s="179"/>
      <c r="O28" s="179"/>
    </row>
    <row r="29" spans="1:15" ht="15">
      <c r="A29" s="148"/>
      <c r="B29" s="149"/>
      <c r="C29" s="91" t="s">
        <v>18</v>
      </c>
      <c r="D29" s="91" t="s">
        <v>18</v>
      </c>
      <c r="E29" s="91" t="s">
        <v>18</v>
      </c>
      <c r="F29" s="91" t="s">
        <v>18</v>
      </c>
      <c r="G29" s="91" t="s">
        <v>18</v>
      </c>
      <c r="H29" s="91" t="s">
        <v>18</v>
      </c>
      <c r="I29" s="91" t="s">
        <v>18</v>
      </c>
      <c r="J29" s="91" t="s">
        <v>18</v>
      </c>
      <c r="K29" s="91" t="s">
        <v>18</v>
      </c>
      <c r="L29" s="91" t="s">
        <v>18</v>
      </c>
      <c r="M29" s="91" t="s">
        <v>18</v>
      </c>
      <c r="N29" s="91" t="s">
        <v>19</v>
      </c>
      <c r="O29" s="91" t="s">
        <v>19</v>
      </c>
    </row>
    <row r="30" spans="1:15" ht="12.75">
      <c r="A30" s="11" t="s">
        <v>20</v>
      </c>
      <c r="B30" s="30" t="s">
        <v>21</v>
      </c>
      <c r="C30" s="12">
        <v>1997</v>
      </c>
      <c r="D30" s="30">
        <v>1998</v>
      </c>
      <c r="E30" s="13">
        <v>1999</v>
      </c>
      <c r="F30" s="13">
        <v>2000</v>
      </c>
      <c r="G30" s="13">
        <v>2001</v>
      </c>
      <c r="H30" s="30">
        <v>2003</v>
      </c>
      <c r="I30" s="30">
        <v>2004</v>
      </c>
      <c r="J30" s="30">
        <v>2005</v>
      </c>
      <c r="K30" s="30">
        <v>2006</v>
      </c>
      <c r="L30" s="30">
        <v>2007</v>
      </c>
      <c r="M30" s="30">
        <v>2008</v>
      </c>
      <c r="N30" s="30">
        <v>2009</v>
      </c>
      <c r="O30" s="30">
        <v>2010</v>
      </c>
    </row>
    <row r="31" spans="1:15" ht="12.75">
      <c r="A31" s="11"/>
      <c r="B31" s="30" t="s">
        <v>0</v>
      </c>
      <c r="C31" s="38" t="s">
        <v>198</v>
      </c>
      <c r="D31" s="38" t="s">
        <v>198</v>
      </c>
      <c r="E31" s="38" t="s">
        <v>198</v>
      </c>
      <c r="F31" s="38" t="s">
        <v>198</v>
      </c>
      <c r="G31" s="38" t="s">
        <v>198</v>
      </c>
      <c r="H31" s="38" t="s">
        <v>198</v>
      </c>
      <c r="I31" s="38" t="s">
        <v>198</v>
      </c>
      <c r="J31" s="38" t="s">
        <v>198</v>
      </c>
      <c r="K31" s="38" t="s">
        <v>198</v>
      </c>
      <c r="L31" s="38" t="s">
        <v>198</v>
      </c>
      <c r="M31" s="38" t="s">
        <v>198</v>
      </c>
      <c r="N31" s="38" t="s">
        <v>198</v>
      </c>
      <c r="O31" s="38" t="s">
        <v>198</v>
      </c>
    </row>
    <row r="32" spans="1:15" ht="24">
      <c r="A32" s="20" t="s">
        <v>109</v>
      </c>
      <c r="B32" s="34" t="s">
        <v>110</v>
      </c>
      <c r="C32" s="21">
        <v>0</v>
      </c>
      <c r="D32" s="41">
        <f>2036070.38/1.95583</f>
        <v>1041026.2548380994</v>
      </c>
      <c r="E32" s="41">
        <f>2036070.38/1.95583</f>
        <v>1041026.2548380994</v>
      </c>
      <c r="F32" s="65">
        <f>1894806.58/1.95583</f>
        <v>968799.2207911732</v>
      </c>
      <c r="G32" s="65">
        <f>1626990.38/1.95583</f>
        <v>831866.9720783504</v>
      </c>
      <c r="H32" s="39">
        <v>0</v>
      </c>
      <c r="I32" s="39">
        <v>0</v>
      </c>
      <c r="J32" s="174">
        <v>0</v>
      </c>
      <c r="K32" s="174">
        <v>0</v>
      </c>
      <c r="L32" s="171">
        <v>0</v>
      </c>
      <c r="M32" s="179">
        <v>0</v>
      </c>
      <c r="N32" s="179">
        <v>0</v>
      </c>
      <c r="O32" s="179">
        <v>0</v>
      </c>
    </row>
    <row r="33" spans="1:15" ht="12.75">
      <c r="A33" s="22"/>
      <c r="B33" s="35"/>
      <c r="C33" s="66"/>
      <c r="D33" s="144"/>
      <c r="E33" s="65"/>
      <c r="F33" s="65"/>
      <c r="G33" s="65"/>
      <c r="H33" s="39"/>
      <c r="I33" s="39"/>
      <c r="J33" s="174"/>
      <c r="K33" s="174"/>
      <c r="L33" s="161"/>
      <c r="M33" s="179"/>
      <c r="N33" s="179"/>
      <c r="O33" s="179"/>
    </row>
    <row r="34" spans="1:15" ht="12.75">
      <c r="A34" s="20" t="s">
        <v>111</v>
      </c>
      <c r="B34" s="34" t="s">
        <v>112</v>
      </c>
      <c r="C34" s="21">
        <f>150000/1.95583</f>
        <v>76693.78217943278</v>
      </c>
      <c r="D34" s="41">
        <f>150000/1.95583</f>
        <v>76693.78217943278</v>
      </c>
      <c r="E34" s="65">
        <f>150000/1.95583</f>
        <v>76693.78217943278</v>
      </c>
      <c r="F34" s="65">
        <f>150000/1.95583</f>
        <v>76693.78217943278</v>
      </c>
      <c r="G34" s="65">
        <f>150000/1.95583</f>
        <v>76693.78217943278</v>
      </c>
      <c r="H34" s="39">
        <v>429515.41</v>
      </c>
      <c r="I34" s="39">
        <v>2893820.15</v>
      </c>
      <c r="J34" s="174">
        <v>0</v>
      </c>
      <c r="K34" s="174">
        <v>0</v>
      </c>
      <c r="L34" s="171">
        <v>11</v>
      </c>
      <c r="M34" s="179">
        <v>240</v>
      </c>
      <c r="N34" s="179">
        <v>94.5</v>
      </c>
      <c r="O34" s="179">
        <v>49</v>
      </c>
    </row>
    <row r="35" spans="1:15" ht="12.75">
      <c r="A35" s="22"/>
      <c r="B35" s="60"/>
      <c r="C35" s="67"/>
      <c r="D35" s="144"/>
      <c r="E35" s="65"/>
      <c r="F35" s="65"/>
      <c r="G35" s="65"/>
      <c r="H35" s="39"/>
      <c r="I35" s="39"/>
      <c r="J35" s="174"/>
      <c r="K35" s="174"/>
      <c r="L35" s="161"/>
      <c r="M35" s="179"/>
      <c r="N35" s="179"/>
      <c r="O35" s="179"/>
    </row>
    <row r="36" spans="1:15" ht="24">
      <c r="A36" s="20" t="s">
        <v>113</v>
      </c>
      <c r="B36" s="34" t="s">
        <v>114</v>
      </c>
      <c r="C36" s="67">
        <f>2672958/1.95583</f>
        <v>1366661.7241784818</v>
      </c>
      <c r="D36" s="68">
        <f>2091600/1.95583</f>
        <v>1069418.0987100105</v>
      </c>
      <c r="E36" s="65">
        <f>2140390.56/1.95583</f>
        <v>1094364.3159170276</v>
      </c>
      <c r="F36" s="65">
        <f>2249100/1.95583</f>
        <v>1149946.569998415</v>
      </c>
      <c r="G36" s="65">
        <f>2477030/1.95583</f>
        <v>1266485.328479469</v>
      </c>
      <c r="H36" s="39">
        <v>1708900</v>
      </c>
      <c r="I36" s="39">
        <v>1742100</v>
      </c>
      <c r="J36" s="174">
        <v>1786</v>
      </c>
      <c r="K36" s="174">
        <v>613</v>
      </c>
      <c r="L36" s="171">
        <v>614</v>
      </c>
      <c r="M36" s="179">
        <v>455.8</v>
      </c>
      <c r="N36" s="179">
        <v>428.7</v>
      </c>
      <c r="O36" s="179">
        <v>373.3</v>
      </c>
    </row>
    <row r="37" spans="1:15" ht="12.75">
      <c r="A37" s="20"/>
      <c r="B37" s="35"/>
      <c r="C37" s="67"/>
      <c r="D37" s="144"/>
      <c r="E37" s="65"/>
      <c r="F37" s="65"/>
      <c r="G37" s="65"/>
      <c r="H37" s="39"/>
      <c r="I37" s="39"/>
      <c r="J37" s="174"/>
      <c r="K37" s="174"/>
      <c r="L37" s="161"/>
      <c r="M37" s="179"/>
      <c r="N37" s="179"/>
      <c r="O37" s="179"/>
    </row>
    <row r="38" spans="1:15" ht="12.75">
      <c r="A38" s="20">
        <v>93</v>
      </c>
      <c r="B38" s="35" t="s">
        <v>115</v>
      </c>
      <c r="C38" s="67">
        <f>1812254/1.95583</f>
        <v>926590.7568653717</v>
      </c>
      <c r="D38" s="68">
        <f>1367556.47/1.95583</f>
        <v>699220.5201883599</v>
      </c>
      <c r="E38" s="65">
        <f>1521470.56/1.95583</f>
        <v>777915.544807064</v>
      </c>
      <c r="F38" s="65">
        <f>1573055.24/1.95583</f>
        <v>804290.372885169</v>
      </c>
      <c r="G38" s="65">
        <f>6020952.88/1.95583</f>
        <v>3078464.3246089895</v>
      </c>
      <c r="H38" s="39">
        <v>1651380.1</v>
      </c>
      <c r="I38" s="39">
        <v>1392164.2</v>
      </c>
      <c r="J38" s="174">
        <v>1244</v>
      </c>
      <c r="K38" s="174">
        <v>1264</v>
      </c>
      <c r="L38" s="174">
        <v>1222</v>
      </c>
      <c r="M38" s="179">
        <v>1872.6</v>
      </c>
      <c r="N38" s="179">
        <v>3890.7</v>
      </c>
      <c r="O38" s="171">
        <v>2294.7</v>
      </c>
    </row>
    <row r="39" spans="1:15" ht="12.75">
      <c r="A39" s="17"/>
      <c r="B39" s="32"/>
      <c r="C39" s="15"/>
      <c r="D39" s="144"/>
      <c r="E39" s="65"/>
      <c r="F39" s="65"/>
      <c r="G39" s="65"/>
      <c r="H39" s="39"/>
      <c r="I39" s="39"/>
      <c r="J39" s="174"/>
      <c r="K39" s="174"/>
      <c r="L39" s="174"/>
      <c r="M39" s="179"/>
      <c r="N39" s="179"/>
      <c r="O39" s="179"/>
    </row>
    <row r="40" spans="1:15" ht="12.75">
      <c r="A40" s="18" t="s">
        <v>116</v>
      </c>
      <c r="B40" s="33" t="s">
        <v>117</v>
      </c>
      <c r="C40" s="15">
        <f>10547034/1.95583</f>
        <v>5392612.854900477</v>
      </c>
      <c r="D40" s="39">
        <f>6426429.42/1.95583</f>
        <v>3285781.187526523</v>
      </c>
      <c r="E40" s="65">
        <f>8067185.61/1.95583</f>
        <v>4124686.506495964</v>
      </c>
      <c r="F40" s="65">
        <f>(24653.6+1080447.34+6128393.69)/1.95583</f>
        <v>3698427.076995445</v>
      </c>
      <c r="G40" s="65">
        <f>15943856.91/1.95583</f>
        <v>8151964.593037227</v>
      </c>
      <c r="H40" s="39">
        <v>2592920.85</v>
      </c>
      <c r="I40" s="39">
        <v>973425.18</v>
      </c>
      <c r="J40" s="174">
        <v>2866</v>
      </c>
      <c r="K40" s="174">
        <v>3573</v>
      </c>
      <c r="L40" s="174">
        <v>3576</v>
      </c>
      <c r="M40" s="179">
        <v>4454.1</v>
      </c>
      <c r="N40" s="179">
        <v>5911</v>
      </c>
      <c r="O40" s="179">
        <v>5473</v>
      </c>
    </row>
    <row r="41" spans="1:15" ht="12.75">
      <c r="A41" s="17"/>
      <c r="B41" s="32"/>
      <c r="C41" s="15"/>
      <c r="D41" s="144"/>
      <c r="E41" s="65"/>
      <c r="F41" s="65"/>
      <c r="G41" s="65"/>
      <c r="H41" s="39"/>
      <c r="I41" s="39"/>
      <c r="J41" s="174"/>
      <c r="K41" s="174"/>
      <c r="L41" s="174"/>
      <c r="M41" s="179"/>
      <c r="N41" s="179"/>
      <c r="O41" s="179"/>
    </row>
    <row r="42" spans="1:15" ht="12.75">
      <c r="A42" s="18" t="s">
        <v>118</v>
      </c>
      <c r="B42" s="33" t="s">
        <v>119</v>
      </c>
      <c r="C42" s="15">
        <f>5390524/1.95583</f>
        <v>2756131.1565933647</v>
      </c>
      <c r="D42" s="39">
        <f>10066645.58/1.95583</f>
        <v>5146994.155933798</v>
      </c>
      <c r="E42" s="65">
        <f>(8705767.19-2425355.4)/1.95583</f>
        <v>3211123.5587960095</v>
      </c>
      <c r="F42" s="65">
        <f>14553698.92/1.95583</f>
        <v>7441188.0991701735</v>
      </c>
      <c r="G42" s="65">
        <f>6876537.82/1.95583</f>
        <v>3515917.9581047436</v>
      </c>
      <c r="H42" s="39">
        <f>10693049.08+8257.55</f>
        <v>10701306.63</v>
      </c>
      <c r="I42" s="39">
        <v>561550.86</v>
      </c>
      <c r="J42" s="174">
        <v>589</v>
      </c>
      <c r="K42" s="174">
        <v>618</v>
      </c>
      <c r="L42" s="174">
        <v>649</v>
      </c>
      <c r="M42" s="179">
        <v>680.7</v>
      </c>
      <c r="N42" s="179">
        <v>762.5</v>
      </c>
      <c r="O42" s="179">
        <v>602.8</v>
      </c>
    </row>
    <row r="43" spans="1:15" ht="12.75">
      <c r="A43" s="131"/>
      <c r="B43" s="128"/>
      <c r="C43" s="143"/>
      <c r="D43" s="144"/>
      <c r="E43" s="65"/>
      <c r="F43" s="65"/>
      <c r="G43" s="65"/>
      <c r="H43" s="39"/>
      <c r="I43" s="39"/>
      <c r="J43" s="174"/>
      <c r="K43" s="174"/>
      <c r="L43" s="174"/>
      <c r="M43" s="179"/>
      <c r="N43" s="179"/>
      <c r="O43" s="179"/>
    </row>
    <row r="44" spans="1:15" ht="24">
      <c r="A44" s="18" t="s">
        <v>120</v>
      </c>
      <c r="B44" s="34" t="s">
        <v>121</v>
      </c>
      <c r="C44" s="15">
        <f>9289890/1.95583</f>
        <v>4749845.3342059385</v>
      </c>
      <c r="D44" s="39">
        <f>8779085.63/1.95583</f>
        <v>4488675.2069453895</v>
      </c>
      <c r="E44" s="65">
        <f>9140941.68/1.95583</f>
        <v>4673689.267472122</v>
      </c>
      <c r="F44" s="65">
        <f>9218307.71/1.95583</f>
        <v>4713245.890491505</v>
      </c>
      <c r="G44" s="65">
        <f>11554540.76/1.95583</f>
        <v>5907742.881538784</v>
      </c>
      <c r="H44" s="39">
        <v>7295684.46</v>
      </c>
      <c r="I44" s="39">
        <v>8704049.65</v>
      </c>
      <c r="J44" s="174">
        <v>3807</v>
      </c>
      <c r="K44" s="174">
        <v>2314</v>
      </c>
      <c r="L44" s="174">
        <v>2630</v>
      </c>
      <c r="M44" s="179">
        <v>2985.3</v>
      </c>
      <c r="N44" s="179">
        <v>3230.1</v>
      </c>
      <c r="O44" s="179">
        <v>3065.7</v>
      </c>
    </row>
    <row r="45" spans="1:15" ht="12.75">
      <c r="A45" s="17"/>
      <c r="B45" s="32"/>
      <c r="C45" s="143"/>
      <c r="D45" s="144"/>
      <c r="E45" s="65"/>
      <c r="F45" s="65"/>
      <c r="G45" s="65"/>
      <c r="H45" s="39"/>
      <c r="I45" s="39"/>
      <c r="J45" s="174"/>
      <c r="K45" s="174"/>
      <c r="L45" s="174"/>
      <c r="M45" s="179"/>
      <c r="N45" s="179"/>
      <c r="O45" s="179"/>
    </row>
    <row r="46" spans="1:15" ht="12.75">
      <c r="A46" s="18" t="s">
        <v>122</v>
      </c>
      <c r="B46" s="33" t="s">
        <v>91</v>
      </c>
      <c r="C46" s="15">
        <v>0</v>
      </c>
      <c r="D46" s="39">
        <v>0</v>
      </c>
      <c r="E46" s="65">
        <v>0</v>
      </c>
      <c r="F46" s="65">
        <v>0</v>
      </c>
      <c r="G46" s="65">
        <v>0</v>
      </c>
      <c r="H46" s="39">
        <v>0</v>
      </c>
      <c r="I46" s="39">
        <v>0</v>
      </c>
      <c r="J46" s="174">
        <v>0</v>
      </c>
      <c r="K46" s="174">
        <v>0</v>
      </c>
      <c r="L46" s="174">
        <v>0</v>
      </c>
      <c r="M46" s="179">
        <v>0</v>
      </c>
      <c r="N46" s="179">
        <v>0</v>
      </c>
      <c r="O46" s="179">
        <v>0</v>
      </c>
    </row>
    <row r="47" spans="1:15" ht="12.75">
      <c r="A47" s="18"/>
      <c r="B47" s="33"/>
      <c r="C47" s="40"/>
      <c r="D47" s="15"/>
      <c r="E47" s="39"/>
      <c r="F47" s="65"/>
      <c r="G47" s="65"/>
      <c r="H47" s="65"/>
      <c r="I47" s="65"/>
      <c r="J47" s="179"/>
      <c r="K47" s="179"/>
      <c r="L47" s="174"/>
      <c r="M47" s="179"/>
      <c r="N47" s="179"/>
      <c r="O47" s="179"/>
    </row>
    <row r="48" spans="1:15" ht="12.75">
      <c r="A48" s="156"/>
      <c r="B48" s="37" t="s">
        <v>123</v>
      </c>
      <c r="C48" s="64">
        <f aca="true" t="shared" si="0" ref="C48:H48">SUM(C32:C46)</f>
        <v>15268535.608923068</v>
      </c>
      <c r="D48" s="64">
        <f t="shared" si="0"/>
        <v>15807809.206321612</v>
      </c>
      <c r="E48" s="64">
        <f t="shared" si="0"/>
        <v>14999499.230505718</v>
      </c>
      <c r="F48" s="64">
        <f t="shared" si="0"/>
        <v>18852591.012511313</v>
      </c>
      <c r="G48" s="64">
        <f t="shared" si="0"/>
        <v>22829135.840026997</v>
      </c>
      <c r="H48" s="64">
        <f t="shared" si="0"/>
        <v>24379707.450000003</v>
      </c>
      <c r="I48" s="64">
        <f>SUM(I32:I46)</f>
        <v>16267110.040000001</v>
      </c>
      <c r="J48" s="153">
        <f>SUM(J32:J46)</f>
        <v>10292</v>
      </c>
      <c r="K48" s="153">
        <f>SUM(K32:K46)</f>
        <v>8382</v>
      </c>
      <c r="L48" s="46">
        <f>SUM(L32:L47)</f>
        <v>8702</v>
      </c>
      <c r="M48" s="163">
        <f>SUM(M32:M47)</f>
        <v>10688.5</v>
      </c>
      <c r="N48" s="163">
        <f>SUM(N32:N47)</f>
        <v>14317.5</v>
      </c>
      <c r="O48" s="163">
        <f>SUM(O32:O47)</f>
        <v>11858.5</v>
      </c>
    </row>
    <row r="49" spans="1:15" ht="12.75">
      <c r="A49" s="156"/>
      <c r="B49" s="37"/>
      <c r="C49" s="64"/>
      <c r="D49" s="26"/>
      <c r="E49" s="43"/>
      <c r="F49" s="157"/>
      <c r="G49" s="157"/>
      <c r="H49" s="157"/>
      <c r="I49" s="157"/>
      <c r="J49" s="163"/>
      <c r="K49" s="163"/>
      <c r="L49" s="177"/>
      <c r="M49" s="163"/>
      <c r="N49" s="163"/>
      <c r="O49" s="163"/>
    </row>
    <row r="50" spans="1:15" ht="12.75">
      <c r="A50" s="156"/>
      <c r="B50" s="37" t="s">
        <v>124</v>
      </c>
      <c r="C50" s="64">
        <v>0</v>
      </c>
      <c r="D50" s="26">
        <v>0</v>
      </c>
      <c r="E50" s="43">
        <v>0</v>
      </c>
      <c r="F50" s="157">
        <v>0</v>
      </c>
      <c r="G50" s="157">
        <v>0</v>
      </c>
      <c r="H50" s="157">
        <v>1</v>
      </c>
      <c r="I50" s="157">
        <v>1</v>
      </c>
      <c r="J50" s="163">
        <v>0</v>
      </c>
      <c r="K50" s="163">
        <v>0</v>
      </c>
      <c r="L50" s="37">
        <v>0</v>
      </c>
      <c r="M50" s="163">
        <v>0</v>
      </c>
      <c r="N50" s="163">
        <v>0</v>
      </c>
      <c r="O50" s="163">
        <v>0</v>
      </c>
    </row>
  </sheetData>
  <printOptions/>
  <pageMargins left="0.58" right="0.44" top="1.1811023622047245" bottom="0.984251968503937" header="0.5118110236220472" footer="0.5118110236220472"/>
  <pageSetup horizontalDpi="300" verticalDpi="300" orientation="portrait" paperSize="9" r:id="rId3"/>
  <headerFooter alignWithMargins="0">
    <oddHeader>&amp;C&amp;"Arial,Fett"&amp;14Seite V 13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49" sqref="A1:E49"/>
    </sheetView>
  </sheetViews>
  <sheetFormatPr defaultColWidth="11.421875" defaultRowHeight="12.75"/>
  <cols>
    <col min="1" max="1" width="14.140625" style="116" customWidth="1"/>
    <col min="2" max="2" width="36.28125" style="116" bestFit="1" customWidth="1"/>
    <col min="3" max="4" width="11.421875" style="116" customWidth="1"/>
    <col min="5" max="5" width="13.28125" style="116" bestFit="1" customWidth="1"/>
    <col min="6" max="6" width="12.7109375" style="116" bestFit="1" customWidth="1"/>
    <col min="7" max="16384" width="11.421875" style="116" customWidth="1"/>
  </cols>
  <sheetData>
    <row r="1" spans="1:5" ht="12.75">
      <c r="A1" s="248" t="s">
        <v>187</v>
      </c>
      <c r="B1" s="249"/>
      <c r="C1" s="249"/>
      <c r="D1" s="249"/>
      <c r="E1" s="250"/>
    </row>
    <row r="2" spans="1:5" ht="12.75">
      <c r="A2" s="251"/>
      <c r="B2" s="252"/>
      <c r="C2" s="252"/>
      <c r="D2" s="252"/>
      <c r="E2" s="253"/>
    </row>
    <row r="3" spans="1:5" ht="12.75">
      <c r="A3" s="254"/>
      <c r="B3" s="255"/>
      <c r="C3" s="255"/>
      <c r="D3" s="255"/>
      <c r="E3" s="256"/>
    </row>
    <row r="4" spans="1:5" ht="12.75">
      <c r="A4" s="122"/>
      <c r="B4" s="123"/>
      <c r="C4" s="123"/>
      <c r="D4" s="123"/>
      <c r="E4" s="108" t="s">
        <v>189</v>
      </c>
    </row>
    <row r="5" spans="1:5" ht="12.75">
      <c r="A5" s="124"/>
      <c r="B5" s="125"/>
      <c r="C5" s="257" t="s">
        <v>188</v>
      </c>
      <c r="D5" s="258"/>
      <c r="E5" s="109" t="s">
        <v>190</v>
      </c>
    </row>
    <row r="6" spans="1:5" ht="12.75">
      <c r="A6" s="126"/>
      <c r="B6" s="127"/>
      <c r="C6" s="111">
        <v>2009</v>
      </c>
      <c r="D6" s="111">
        <v>2010</v>
      </c>
      <c r="E6" s="110" t="s">
        <v>191</v>
      </c>
    </row>
    <row r="7" spans="1:6" ht="14.25">
      <c r="A7" s="126"/>
      <c r="B7" s="127"/>
      <c r="C7" s="241"/>
      <c r="D7" s="241"/>
      <c r="E7" s="243"/>
      <c r="F7" s="107"/>
    </row>
  </sheetData>
  <mergeCells count="2">
    <mergeCell ref="A1:E3"/>
    <mergeCell ref="C5:D5"/>
  </mergeCells>
  <printOptions/>
  <pageMargins left="1.1811023622047245" right="0.4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&amp;C&amp;"Arial,Fett"&amp;14Seite V 21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37">
      <selection activeCell="C54" sqref="C54"/>
    </sheetView>
  </sheetViews>
  <sheetFormatPr defaultColWidth="11.421875" defaultRowHeight="12.75"/>
  <cols>
    <col min="1" max="1" width="59.421875" style="116" bestFit="1" customWidth="1"/>
    <col min="2" max="2" width="11.140625" style="116" customWidth="1"/>
    <col min="3" max="3" width="10.28125" style="116" customWidth="1"/>
    <col min="4" max="4" width="40.28125" style="116" bestFit="1" customWidth="1"/>
    <col min="5" max="5" width="12.28125" style="116" bestFit="1" customWidth="1"/>
    <col min="6" max="6" width="5.421875" style="116" customWidth="1"/>
    <col min="7" max="12" width="11.421875" style="116" customWidth="1"/>
    <col min="13" max="13" width="16.7109375" style="116" customWidth="1"/>
    <col min="14" max="16384" width="11.421875" style="116" customWidth="1"/>
  </cols>
  <sheetData>
    <row r="1" spans="1:5" ht="12.75">
      <c r="A1" s="3" t="s">
        <v>21</v>
      </c>
      <c r="B1" s="4">
        <v>2010</v>
      </c>
      <c r="C1" s="118" t="s">
        <v>164</v>
      </c>
      <c r="D1" s="6" t="s">
        <v>132</v>
      </c>
      <c r="E1" s="6" t="s">
        <v>169</v>
      </c>
    </row>
    <row r="2" spans="1:9" ht="12.75">
      <c r="A2" s="6" t="s">
        <v>128</v>
      </c>
      <c r="B2" s="96"/>
      <c r="C2" s="97"/>
      <c r="D2" s="97"/>
      <c r="E2" s="96"/>
      <c r="I2" s="116" t="s">
        <v>165</v>
      </c>
    </row>
    <row r="3" spans="1:5" ht="12.75">
      <c r="A3" s="6" t="s">
        <v>132</v>
      </c>
      <c r="B3" s="96"/>
      <c r="C3" s="97"/>
      <c r="D3" s="97"/>
      <c r="E3" s="96"/>
    </row>
    <row r="4" spans="1:5" s="119" customFormat="1" ht="12.75">
      <c r="A4" s="6"/>
      <c r="B4" s="96"/>
      <c r="C4" s="97"/>
      <c r="D4" s="97"/>
      <c r="E4" s="96"/>
    </row>
    <row r="5" spans="1:5" ht="12.75">
      <c r="A5" s="6" t="s">
        <v>25</v>
      </c>
      <c r="B5" s="96">
        <v>19924700</v>
      </c>
      <c r="C5" s="97">
        <f>100/B16*B5</f>
        <v>10.564063193401351</v>
      </c>
      <c r="D5" s="97" t="s">
        <v>177</v>
      </c>
      <c r="E5" s="96">
        <v>21700</v>
      </c>
    </row>
    <row r="6" spans="1:5" ht="12.75">
      <c r="A6" s="6" t="s">
        <v>166</v>
      </c>
      <c r="B6" s="96">
        <v>4020500</v>
      </c>
      <c r="C6" s="97">
        <f aca="true" t="shared" si="0" ref="C6:C12">100/$B$16*B6</f>
        <v>2.1316665279311673</v>
      </c>
      <c r="D6" s="97" t="s">
        <v>37</v>
      </c>
      <c r="E6" s="96">
        <v>7578600</v>
      </c>
    </row>
    <row r="7" spans="1:5" ht="12.75">
      <c r="A7" s="5" t="s">
        <v>29</v>
      </c>
      <c r="B7" s="96">
        <v>50482500</v>
      </c>
      <c r="C7" s="97">
        <f t="shared" si="0"/>
        <v>26.765789204398747</v>
      </c>
      <c r="D7" s="97" t="s">
        <v>39</v>
      </c>
      <c r="E7" s="231">
        <v>4964100</v>
      </c>
    </row>
    <row r="8" spans="1:5" ht="12.75">
      <c r="A8" s="6" t="s">
        <v>31</v>
      </c>
      <c r="B8" s="96">
        <v>6817000</v>
      </c>
      <c r="C8" s="97">
        <f t="shared" si="0"/>
        <v>3.6143690389023178</v>
      </c>
      <c r="D8" s="97" t="s">
        <v>41</v>
      </c>
      <c r="E8" s="231"/>
    </row>
    <row r="9" spans="1:5" ht="12.75">
      <c r="A9" s="5" t="s">
        <v>167</v>
      </c>
      <c r="B9" s="96">
        <v>32875500</v>
      </c>
      <c r="C9" s="97">
        <f t="shared" si="0"/>
        <v>17.43056906827536</v>
      </c>
      <c r="D9" s="97" t="s">
        <v>43</v>
      </c>
      <c r="E9" s="96">
        <v>0</v>
      </c>
    </row>
    <row r="10" spans="1:5" ht="12.75">
      <c r="A10" s="6" t="s">
        <v>168</v>
      </c>
      <c r="B10" s="96">
        <v>6835000</v>
      </c>
      <c r="C10" s="97">
        <f t="shared" si="0"/>
        <v>3.6239126273870235</v>
      </c>
      <c r="D10" s="97" t="s">
        <v>47</v>
      </c>
      <c r="E10" s="96">
        <v>2312300</v>
      </c>
    </row>
    <row r="11" spans="1:5" ht="12.75">
      <c r="A11" s="6" t="s">
        <v>213</v>
      </c>
      <c r="B11" s="96">
        <v>51161000</v>
      </c>
      <c r="C11" s="97">
        <f t="shared" si="0"/>
        <v>27.12552947033614</v>
      </c>
      <c r="D11" s="97" t="s">
        <v>49</v>
      </c>
      <c r="E11" s="96">
        <v>92800</v>
      </c>
    </row>
    <row r="12" spans="1:5" ht="12.75">
      <c r="A12" s="120" t="s">
        <v>169</v>
      </c>
      <c r="B12" s="96">
        <f>E14</f>
        <v>16492100</v>
      </c>
      <c r="C12" s="97">
        <f t="shared" si="0"/>
        <v>8.744100869367891</v>
      </c>
      <c r="D12" s="97" t="s">
        <v>214</v>
      </c>
      <c r="E12" s="96">
        <v>1522600</v>
      </c>
    </row>
    <row r="13" spans="1:5" ht="12.75">
      <c r="A13" s="120"/>
      <c r="B13" s="213"/>
      <c r="C13" s="97"/>
      <c r="D13" s="116" t="s">
        <v>183</v>
      </c>
      <c r="E13" s="96"/>
    </row>
    <row r="14" spans="1:5" ht="12.75">
      <c r="A14" s="8"/>
      <c r="B14" s="214"/>
      <c r="D14" s="99"/>
      <c r="E14" s="96">
        <f>SUM(E5:E13)</f>
        <v>16492100</v>
      </c>
    </row>
    <row r="15" spans="1:5" ht="12.75">
      <c r="A15" s="121"/>
      <c r="B15" s="214"/>
      <c r="D15" s="99"/>
      <c r="E15" s="213"/>
    </row>
    <row r="16" spans="1:5" ht="12.75">
      <c r="A16" s="7"/>
      <c r="B16" s="96">
        <f>SUM(B5:B12)</f>
        <v>188608300</v>
      </c>
      <c r="C16" s="99">
        <f>SUM(C5:C12)</f>
        <v>100</v>
      </c>
      <c r="E16" s="214"/>
    </row>
    <row r="17" spans="1:5" ht="12.75">
      <c r="A17" s="7"/>
      <c r="B17" s="213"/>
      <c r="C17" s="99"/>
      <c r="E17" s="214"/>
    </row>
    <row r="18" spans="1:5" ht="12.75">
      <c r="A18" s="8" t="s">
        <v>143</v>
      </c>
      <c r="B18" s="215"/>
      <c r="D18" s="97"/>
      <c r="E18" s="213"/>
    </row>
    <row r="19" spans="2:5" ht="12.75">
      <c r="B19" s="214"/>
      <c r="D19" s="97"/>
      <c r="E19" s="213"/>
    </row>
    <row r="20" spans="1:5" ht="12.75">
      <c r="A20" s="5" t="s">
        <v>57</v>
      </c>
      <c r="B20" s="96">
        <v>29888700</v>
      </c>
      <c r="C20" s="97">
        <f>(B20*100)/B29</f>
        <v>11.720079852153527</v>
      </c>
      <c r="D20" s="168"/>
      <c r="E20" s="213"/>
    </row>
    <row r="21" spans="1:5" ht="12.75">
      <c r="A21" s="5" t="s">
        <v>170</v>
      </c>
      <c r="B21" s="98">
        <v>39308800</v>
      </c>
      <c r="C21" s="97">
        <f>(B21*100)/B29</f>
        <v>15.413928169921492</v>
      </c>
      <c r="D21" s="167"/>
      <c r="E21" s="96"/>
    </row>
    <row r="22" spans="1:5" ht="12.75">
      <c r="A22" s="5" t="s">
        <v>171</v>
      </c>
      <c r="B22" s="98">
        <v>4027400</v>
      </c>
      <c r="C22" s="97">
        <f>(B22*100)/B29</f>
        <v>1.5792406359782496</v>
      </c>
      <c r="D22" s="167"/>
      <c r="E22" s="96"/>
    </row>
    <row r="23" spans="1:5" ht="12.75">
      <c r="A23" s="6" t="s">
        <v>178</v>
      </c>
      <c r="B23" s="98">
        <v>493400</v>
      </c>
      <c r="C23" s="97">
        <f>(B23*100)/B29</f>
        <v>0.19347403530607052</v>
      </c>
      <c r="D23" s="167"/>
      <c r="E23" s="96"/>
    </row>
    <row r="24" spans="1:5" ht="12.75">
      <c r="A24" s="5" t="s">
        <v>172</v>
      </c>
      <c r="B24" s="98">
        <v>126263400</v>
      </c>
      <c r="C24" s="97">
        <f>(B24*100)/B29</f>
        <v>49.51092320523815</v>
      </c>
      <c r="D24" s="167"/>
      <c r="E24" s="96"/>
    </row>
    <row r="25" spans="1:5" ht="12.75">
      <c r="A25" s="6" t="s">
        <v>83</v>
      </c>
      <c r="B25" s="98">
        <v>2766000</v>
      </c>
      <c r="C25" s="97">
        <f>(B25*100)/B29</f>
        <v>1.0846152850761877</v>
      </c>
      <c r="D25" s="167"/>
      <c r="E25" s="96"/>
    </row>
    <row r="26" spans="1:5" ht="12.75">
      <c r="A26" s="5" t="s">
        <v>90</v>
      </c>
      <c r="B26" s="96">
        <v>602800</v>
      </c>
      <c r="C26" s="97">
        <f>(B26*100)/B29</f>
        <v>0.23637241281414534</v>
      </c>
      <c r="D26" s="167"/>
      <c r="E26" s="96"/>
    </row>
    <row r="27" spans="1:5" ht="12.75">
      <c r="A27" s="5" t="s">
        <v>91</v>
      </c>
      <c r="B27" s="96">
        <v>51670800</v>
      </c>
      <c r="C27" s="97">
        <f>(B27*100)/B29</f>
        <v>20.261366403512177</v>
      </c>
      <c r="D27" s="167"/>
      <c r="E27" s="96"/>
    </row>
    <row r="28" spans="2:5" ht="12.75">
      <c r="B28" s="213"/>
      <c r="C28" s="99"/>
      <c r="D28" s="167"/>
      <c r="E28" s="96"/>
    </row>
    <row r="29" spans="2:5" ht="12.75">
      <c r="B29" s="233">
        <f>SUM(B20:B28)</f>
        <v>255021300</v>
      </c>
      <c r="C29" s="116">
        <v>100</v>
      </c>
      <c r="D29" s="167"/>
      <c r="E29" s="96"/>
    </row>
    <row r="30" spans="2:5" ht="12.75">
      <c r="B30" s="216"/>
      <c r="D30" s="167"/>
      <c r="E30" s="96"/>
    </row>
    <row r="31" spans="2:5" ht="12.75">
      <c r="B31" s="216"/>
      <c r="D31" s="167"/>
      <c r="E31" s="96"/>
    </row>
    <row r="32" spans="1:5" ht="12.75">
      <c r="A32" s="5" t="s">
        <v>21</v>
      </c>
      <c r="B32" s="107" t="s">
        <v>225</v>
      </c>
      <c r="C32" s="97" t="s">
        <v>164</v>
      </c>
      <c r="D32" s="167"/>
      <c r="E32" s="96"/>
    </row>
    <row r="33" spans="1:5" ht="12.75">
      <c r="A33" s="5" t="s">
        <v>155</v>
      </c>
      <c r="B33" s="96"/>
      <c r="C33" s="97"/>
      <c r="D33" s="167"/>
      <c r="E33" s="96"/>
    </row>
    <row r="34" spans="1:5" ht="12.75">
      <c r="A34" s="5" t="s">
        <v>132</v>
      </c>
      <c r="B34" s="96"/>
      <c r="C34" s="97"/>
      <c r="D34" s="167"/>
      <c r="E34" s="96"/>
    </row>
    <row r="35" spans="1:5" ht="12.75">
      <c r="A35" s="5"/>
      <c r="B35" s="96"/>
      <c r="C35" s="97"/>
      <c r="D35" s="169"/>
      <c r="E35" s="232"/>
    </row>
    <row r="36" spans="1:3" ht="12.75">
      <c r="A36" s="5" t="s">
        <v>173</v>
      </c>
      <c r="B36" s="96">
        <v>602800</v>
      </c>
      <c r="C36" s="97">
        <f>(B36*100)/B43</f>
        <v>5.0832736012143185</v>
      </c>
    </row>
    <row r="37" spans="1:4" ht="12.75">
      <c r="A37" s="5" t="s">
        <v>99</v>
      </c>
      <c r="B37" s="96">
        <v>0</v>
      </c>
      <c r="C37" s="97">
        <f>(B37*100)/B43</f>
        <v>0</v>
      </c>
      <c r="D37" s="96"/>
    </row>
    <row r="38" spans="1:3" ht="12.75">
      <c r="A38" s="5" t="s">
        <v>101</v>
      </c>
      <c r="B38" s="96">
        <v>823600</v>
      </c>
      <c r="C38" s="97">
        <f>(B38*100)/B43</f>
        <v>6.945229160517772</v>
      </c>
    </row>
    <row r="39" spans="1:3" ht="12.75">
      <c r="A39" s="5" t="s">
        <v>174</v>
      </c>
      <c r="B39" s="96">
        <v>9800</v>
      </c>
      <c r="C39" s="97">
        <f>(B39*100)/B43</f>
        <v>0.08264114348357718</v>
      </c>
    </row>
    <row r="40" spans="1:3" ht="12.75">
      <c r="A40" s="5" t="s">
        <v>175</v>
      </c>
      <c r="B40" s="96">
        <v>2928800</v>
      </c>
      <c r="C40" s="97">
        <f>(B40*100)/B43</f>
        <v>24.697896023949067</v>
      </c>
    </row>
    <row r="41" spans="1:3" ht="12.75">
      <c r="A41" s="5" t="s">
        <v>107</v>
      </c>
      <c r="B41" s="96">
        <v>7493500</v>
      </c>
      <c r="C41" s="97">
        <f>(B41*100)/B43</f>
        <v>63.19096007083527</v>
      </c>
    </row>
    <row r="42" spans="1:3" ht="12.75">
      <c r="A42" s="5"/>
      <c r="B42" s="96"/>
      <c r="C42" s="97"/>
    </row>
    <row r="43" spans="1:3" ht="12.75">
      <c r="A43" s="5"/>
      <c r="B43" s="96">
        <f>SUM(B36:B41)</f>
        <v>11858500</v>
      </c>
      <c r="C43" s="96">
        <f>SUM(C36:C41)</f>
        <v>100</v>
      </c>
    </row>
    <row r="44" spans="1:3" ht="12.75">
      <c r="A44" s="5"/>
      <c r="B44" s="96"/>
      <c r="C44" s="97"/>
    </row>
    <row r="45" spans="1:3" ht="12.75">
      <c r="A45" s="5" t="s">
        <v>143</v>
      </c>
      <c r="B45" s="96"/>
      <c r="C45" s="97"/>
    </row>
    <row r="46" spans="1:3" ht="12.75">
      <c r="A46" s="5"/>
      <c r="B46" s="96"/>
      <c r="C46" s="97"/>
    </row>
    <row r="47" spans="1:3" ht="12.75">
      <c r="A47" s="5" t="s">
        <v>110</v>
      </c>
      <c r="B47" s="96"/>
      <c r="C47" s="97">
        <f>(B47*100)/B55</f>
        <v>0</v>
      </c>
    </row>
    <row r="48" spans="1:3" ht="12.75">
      <c r="A48" s="5" t="s">
        <v>176</v>
      </c>
      <c r="B48" s="96">
        <v>49000</v>
      </c>
      <c r="C48" s="97">
        <f>(B48*100)/B55</f>
        <v>0.4132057174178859</v>
      </c>
    </row>
    <row r="49" spans="1:3" ht="12.75">
      <c r="A49" s="5" t="s">
        <v>114</v>
      </c>
      <c r="B49" s="96">
        <v>373300</v>
      </c>
      <c r="C49" s="97">
        <f>(B49*100)/B55</f>
        <v>3.1479529451448327</v>
      </c>
    </row>
    <row r="50" spans="1:3" ht="12.75">
      <c r="A50" s="5" t="s">
        <v>115</v>
      </c>
      <c r="B50" s="96">
        <v>2294700</v>
      </c>
      <c r="C50" s="97">
        <f>(B50*100)/B55</f>
        <v>19.350676729771894</v>
      </c>
    </row>
    <row r="51" spans="1:3" ht="12.75">
      <c r="A51" s="5" t="s">
        <v>117</v>
      </c>
      <c r="B51" s="96">
        <v>5473000</v>
      </c>
      <c r="C51" s="97">
        <f>(B51*100)/B55</f>
        <v>46.15254880465489</v>
      </c>
    </row>
    <row r="52" spans="1:3" ht="12.75">
      <c r="A52" s="5" t="s">
        <v>119</v>
      </c>
      <c r="B52" s="96">
        <v>602800</v>
      </c>
      <c r="C52" s="97">
        <f>(B52*100)/B55</f>
        <v>5.0832736012143185</v>
      </c>
    </row>
    <row r="53" spans="1:3" ht="12.75">
      <c r="A53" s="5" t="s">
        <v>121</v>
      </c>
      <c r="B53" s="96">
        <v>3065700</v>
      </c>
      <c r="C53" s="97">
        <f>(B53*100)/B55</f>
        <v>25.85234220179618</v>
      </c>
    </row>
    <row r="54" spans="1:3" ht="12.75">
      <c r="A54" s="5"/>
      <c r="B54" s="96"/>
      <c r="C54" s="97"/>
    </row>
    <row r="55" spans="1:3" ht="12.75">
      <c r="A55" s="5"/>
      <c r="B55" s="96">
        <f>SUM(B47:B53)</f>
        <v>11858500</v>
      </c>
      <c r="C55" s="96">
        <f>SUM(C47:C53)</f>
        <v>100</v>
      </c>
    </row>
    <row r="56" spans="1:3" ht="12.75">
      <c r="A56" s="5"/>
      <c r="B56" s="98"/>
      <c r="C56" s="97"/>
    </row>
    <row r="57" spans="1:3" ht="12.75">
      <c r="A57" s="5"/>
      <c r="B57" s="98"/>
      <c r="C57" s="97"/>
    </row>
    <row r="58" spans="1:3" ht="12.75">
      <c r="A58" s="5"/>
      <c r="B58" s="98"/>
      <c r="C58" s="97"/>
    </row>
    <row r="59" spans="1:3" ht="12.75">
      <c r="A59" s="5"/>
      <c r="B59" s="98"/>
      <c r="C59" s="97"/>
    </row>
    <row r="60" spans="1:3" ht="12.75">
      <c r="A60" s="5"/>
      <c r="B60" s="98"/>
      <c r="C60" s="97"/>
    </row>
    <row r="61" spans="1:3" ht="12.75">
      <c r="A61" s="5"/>
      <c r="B61" s="98"/>
      <c r="C61" s="97"/>
    </row>
    <row r="62" spans="1:3" ht="12.75">
      <c r="A62" s="5"/>
      <c r="B62" s="98"/>
      <c r="C62" s="97"/>
    </row>
    <row r="63" spans="1:3" ht="12.75">
      <c r="A63" s="5"/>
      <c r="B63" s="98"/>
      <c r="C63" s="97"/>
    </row>
    <row r="64" spans="1:3" ht="12.75">
      <c r="A64" s="5"/>
      <c r="B64" s="98"/>
      <c r="C64" s="97"/>
    </row>
    <row r="65" spans="1:3" ht="12.75">
      <c r="A65" s="5"/>
      <c r="B65" s="98"/>
      <c r="C65" s="97"/>
    </row>
    <row r="66" spans="1:3" ht="12.75">
      <c r="A66" s="5"/>
      <c r="B66" s="98"/>
      <c r="C66" s="97"/>
    </row>
  </sheetData>
  <printOptions horizontalCentered="1"/>
  <pageMargins left="0.984251968503937" right="0.7874015748031497" top="0.7" bottom="0.51" header="0.35" footer="0.5118110236220472"/>
  <pageSetup horizontalDpi="300" verticalDpi="300" orientation="portrait" r:id="rId4"/>
  <headerFooter alignWithMargins="0">
    <oddHeader>&amp;C&amp;"Arial,Fett"&amp;16Seite V 8</oddHeader>
    <oddFooter xml:space="preserve">&amp;C 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31" sqref="I31"/>
    </sheetView>
  </sheetViews>
  <sheetFormatPr defaultColWidth="11.421875" defaultRowHeight="12.75"/>
  <sheetData/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headerFooter alignWithMargins="0">
    <oddHeader>&amp;C&amp;"Arial,Fett"&amp;14Seite V 13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I82" sqref="I82"/>
    </sheetView>
  </sheetViews>
  <sheetFormatPr defaultColWidth="11.421875" defaultRowHeight="12.75"/>
  <sheetData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2"/>
  <headerFooter alignWithMargins="0">
    <oddHeader>&amp;C&amp;"Arial,Fett"&amp;14Seite V 14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 Peine</dc:creator>
  <cp:keywords/>
  <dc:description/>
  <cp:lastModifiedBy>Klages</cp:lastModifiedBy>
  <cp:lastPrinted>2010-03-04T08:51:44Z</cp:lastPrinted>
  <dcterms:created xsi:type="dcterms:W3CDTF">1999-10-25T11:00:22Z</dcterms:created>
  <dcterms:modified xsi:type="dcterms:W3CDTF">2010-03-04T08:51:54Z</dcterms:modified>
  <cp:category/>
  <cp:version/>
  <cp:contentType/>
  <cp:contentStatus/>
</cp:coreProperties>
</file>