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5480" windowHeight="11640" activeTab="0"/>
  </bookViews>
  <sheets>
    <sheet name="HH-Plan 2010" sheetId="1" r:id="rId1"/>
  </sheets>
  <definedNames>
    <definedName name="_xlnm.Print_Area" localSheetId="0">'HH-Plan 2010'!$A$39:$R$81</definedName>
  </definedNames>
  <calcPr fullCalcOnLoad="1"/>
</workbook>
</file>

<file path=xl/sharedStrings.xml><?xml version="1.0" encoding="utf-8"?>
<sst xmlns="http://schemas.openxmlformats.org/spreadsheetml/2006/main" count="77" uniqueCount="44">
  <si>
    <t>Entwicklung der Kreisschulbaukasse</t>
  </si>
  <si>
    <t>(Formeltabelle ohne Rundung)</t>
  </si>
  <si>
    <t>Stand:</t>
  </si>
  <si>
    <t>Hst.</t>
  </si>
  <si>
    <t>Summe</t>
  </si>
  <si>
    <t>Einnahmen</t>
  </si>
  <si>
    <t>Grundschüler</t>
  </si>
  <si>
    <t>Beiträge von Gemeinden</t>
  </si>
  <si>
    <t>20700.36210</t>
  </si>
  <si>
    <t>Beiträge von Gemeinden f. IGS</t>
  </si>
  <si>
    <t>Beiträge vom Landkreis</t>
  </si>
  <si>
    <t>20700.36200</t>
  </si>
  <si>
    <t>Beiträge vom Landkreis f. IGS</t>
  </si>
  <si>
    <t>Darlehensrückflüsse</t>
  </si>
  <si>
    <t>von Gemeinden</t>
  </si>
  <si>
    <t>20700.32200</t>
  </si>
  <si>
    <t>vom Landkreis</t>
  </si>
  <si>
    <t>20700.32210</t>
  </si>
  <si>
    <t>Summe Einnahmen</t>
  </si>
  <si>
    <t>Ausgaben</t>
  </si>
  <si>
    <t>Schuldendiensthilfen an Stadt Peine</t>
  </si>
  <si>
    <t>Schuldendiensthilfen an LK</t>
  </si>
  <si>
    <t>2070.7221</t>
  </si>
  <si>
    <t>Darlehen an Gemeinden</t>
  </si>
  <si>
    <t>20700.92200</t>
  </si>
  <si>
    <t>Darlehen an Landkreis</t>
  </si>
  <si>
    <t>20700.92210</t>
  </si>
  <si>
    <t>Zuschüsse an Gemeinden</t>
  </si>
  <si>
    <t>20700.98200</t>
  </si>
  <si>
    <t>Zuschüsse an Landkreis</t>
  </si>
  <si>
    <t>20700.98210</t>
  </si>
  <si>
    <t>Zuschüsse IGS</t>
  </si>
  <si>
    <t>Summe Ausgaben</t>
  </si>
  <si>
    <t>Einnahmen in Euro</t>
  </si>
  <si>
    <t>Ausgaben in Euro</t>
  </si>
  <si>
    <t>20700.72200</t>
  </si>
  <si>
    <t>20700.72210</t>
  </si>
  <si>
    <t>Zuschüsse IGS*</t>
  </si>
  <si>
    <t>Anlage 6</t>
  </si>
  <si>
    <t>Beitrag pro Grundschüler für die IGS: 2009 40 € (Gemeinden 13,33 €, Landkreis 26,66 €)</t>
  </si>
  <si>
    <t>geringerer Betrag eingegeben. Andernfalls wäre der Finanzplan nicht ausgeglichen gewesen.</t>
  </si>
  <si>
    <t>Beitrag pro Grundschüler für die IGS: 2006-2008 24 € (Gemeinden 8 €, Landkreis 16 €); 2009 40 € (Gemeinden 13,33 €, Landkreis 26,67 €)</t>
  </si>
  <si>
    <t>2010-2013</t>
  </si>
  <si>
    <t xml:space="preserve">*Aufgrund der Abweichungen durch Rundungsdifferenzen wurde im Haushaltsplan für die Jahre 2010, 2011, 2012 und 2013 ein um jeweils 200 €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</si>
</sst>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b/>
      <u val="single"/>
      <sz val="14"/>
      <name val="Arial"/>
      <family val="0"/>
    </font>
    <font>
      <b/>
      <u val="double"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0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7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3" fontId="1" fillId="3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14" fontId="3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4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1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3" fontId="0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83</xdr:row>
      <xdr:rowOff>19050</xdr:rowOff>
    </xdr:from>
    <xdr:to>
      <xdr:col>2</xdr:col>
      <xdr:colOff>552450</xdr:colOff>
      <xdr:row>83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248025" y="12153900"/>
          <a:ext cx="9525" cy="9525"/>
        </a:xfrm>
        <a:custGeom>
          <a:pathLst>
            <a:path h="1" w="1">
              <a:moveTo>
                <a:pt x="0" y="0"/>
              </a:moveTo>
              <a:cubicBezTo>
                <a:pt x="0" y="0"/>
                <a:pt x="0" y="1"/>
                <a:pt x="0" y="1"/>
              </a:cubicBezTo>
              <a:cubicBezTo>
                <a:pt x="0" y="1"/>
                <a:pt x="0" y="0"/>
                <a:pt x="0" y="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workbookViewId="0" topLeftCell="A39">
      <selection activeCell="A82" sqref="A82"/>
    </sheetView>
  </sheetViews>
  <sheetFormatPr defaultColWidth="11.421875" defaultRowHeight="12.75"/>
  <cols>
    <col min="1" max="1" width="27.00390625" style="0" customWidth="1"/>
    <col min="2" max="2" width="13.57421875" style="0" customWidth="1"/>
    <col min="3" max="3" width="10.00390625" style="0" customWidth="1"/>
    <col min="4" max="4" width="11.7109375" style="0" customWidth="1"/>
    <col min="5" max="6" width="0.13671875" style="0" hidden="1" customWidth="1"/>
    <col min="7" max="8" width="10.7109375" style="0" hidden="1" customWidth="1"/>
    <col min="9" max="9" width="0.42578125" style="0" hidden="1" customWidth="1"/>
    <col min="10" max="10" width="10.7109375" style="0" hidden="1" customWidth="1"/>
    <col min="11" max="11" width="9.140625" style="0" hidden="1" customWidth="1"/>
    <col min="12" max="12" width="0.9921875" style="0" hidden="1" customWidth="1"/>
    <col min="13" max="13" width="0.13671875" style="0" customWidth="1"/>
    <col min="14" max="17" width="10.7109375" style="0" customWidth="1"/>
    <col min="18" max="18" width="14.421875" style="0" bestFit="1" customWidth="1"/>
    <col min="19" max="16384" width="10.7109375" style="0" customWidth="1"/>
  </cols>
  <sheetData>
    <row r="1" spans="1:18" s="2" customFormat="1" ht="13.5" thickBot="1">
      <c r="A1" s="1" t="s">
        <v>0</v>
      </c>
      <c r="B1" s="86"/>
      <c r="C1" s="86"/>
      <c r="D1" s="86"/>
      <c r="E1" s="87" t="s">
        <v>1</v>
      </c>
      <c r="F1" s="87"/>
      <c r="G1" s="87"/>
      <c r="H1" s="87"/>
      <c r="I1" s="87"/>
      <c r="J1" s="88" t="s">
        <v>2</v>
      </c>
      <c r="K1" s="88"/>
      <c r="L1" s="88"/>
      <c r="M1" s="88"/>
      <c r="N1" s="41"/>
      <c r="O1" s="41"/>
      <c r="P1" s="41"/>
      <c r="Q1" s="41"/>
      <c r="R1" s="91">
        <v>40095</v>
      </c>
    </row>
    <row r="2" spans="1:18" s="3" customFormat="1" ht="12.75">
      <c r="A2" s="89" t="s">
        <v>39</v>
      </c>
      <c r="B2" s="90"/>
      <c r="C2" s="90"/>
      <c r="D2" s="90"/>
      <c r="E2" s="87"/>
      <c r="F2" s="87"/>
      <c r="G2" s="87"/>
      <c r="H2" s="87"/>
      <c r="I2" s="87"/>
      <c r="J2" s="87"/>
      <c r="K2" s="87"/>
      <c r="L2" s="87"/>
      <c r="M2" s="87"/>
      <c r="N2" s="40"/>
      <c r="O2" s="40"/>
      <c r="P2" s="40"/>
      <c r="Q2" s="40"/>
      <c r="R2" s="44"/>
    </row>
    <row r="3" spans="1:18" s="2" customFormat="1" ht="13.5" thickBo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2" customFormat="1" ht="13.5" thickBot="1">
      <c r="A4" s="40"/>
      <c r="B4" s="40"/>
      <c r="C4" s="40"/>
      <c r="D4" s="4" t="s">
        <v>3</v>
      </c>
      <c r="E4" s="45">
        <v>2001</v>
      </c>
      <c r="F4" s="45">
        <v>2002</v>
      </c>
      <c r="G4" s="45">
        <v>2003</v>
      </c>
      <c r="H4" s="45">
        <v>2004</v>
      </c>
      <c r="I4" s="45">
        <v>2005</v>
      </c>
      <c r="J4" s="45">
        <v>2006</v>
      </c>
      <c r="K4" s="45">
        <v>2007</v>
      </c>
      <c r="L4" s="45">
        <v>2008</v>
      </c>
      <c r="M4" s="45">
        <v>2009</v>
      </c>
      <c r="N4" s="4">
        <v>2010</v>
      </c>
      <c r="O4" s="4">
        <v>2011</v>
      </c>
      <c r="P4" s="4">
        <v>2012</v>
      </c>
      <c r="Q4" s="4">
        <v>2013</v>
      </c>
      <c r="R4" s="33" t="s">
        <v>4</v>
      </c>
    </row>
    <row r="5" spans="1:18" s="2" customFormat="1" ht="13.5" thickBot="1">
      <c r="A5" s="1" t="s">
        <v>5</v>
      </c>
      <c r="B5" s="40"/>
      <c r="C5" s="40"/>
      <c r="D5" s="87" t="s">
        <v>6</v>
      </c>
      <c r="E5" s="46">
        <v>6220</v>
      </c>
      <c r="F5" s="46">
        <v>6080</v>
      </c>
      <c r="G5" s="46">
        <v>6142</v>
      </c>
      <c r="H5" s="46">
        <v>6194</v>
      </c>
      <c r="I5" s="46">
        <v>6169</v>
      </c>
      <c r="J5" s="46">
        <v>6064</v>
      </c>
      <c r="K5" s="46">
        <v>5969</v>
      </c>
      <c r="L5" s="46">
        <v>5712</v>
      </c>
      <c r="M5" s="46">
        <v>5635</v>
      </c>
      <c r="N5" s="100">
        <v>5367</v>
      </c>
      <c r="O5" s="100">
        <v>5202</v>
      </c>
      <c r="P5" s="100">
        <v>5063</v>
      </c>
      <c r="Q5" s="100">
        <v>4847</v>
      </c>
      <c r="R5" s="32" t="s">
        <v>42</v>
      </c>
    </row>
    <row r="6" spans="1:18" s="2" customFormat="1" ht="12.75">
      <c r="A6" s="87"/>
      <c r="B6" s="40"/>
      <c r="C6" s="40"/>
      <c r="D6" s="87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7"/>
    </row>
    <row r="7" spans="1:18" s="2" customFormat="1" ht="12.75">
      <c r="A7" s="87" t="s">
        <v>7</v>
      </c>
      <c r="B7" s="40"/>
      <c r="C7" s="40"/>
      <c r="D7" s="92" t="s">
        <v>8</v>
      </c>
      <c r="E7" s="48">
        <f>E5*250</f>
        <v>1555000</v>
      </c>
      <c r="F7" s="48">
        <f>(F5*128)</f>
        <v>778240</v>
      </c>
      <c r="G7" s="48">
        <f>G5*128</f>
        <v>786176</v>
      </c>
      <c r="H7" s="48">
        <f>H5*128</f>
        <v>792832</v>
      </c>
      <c r="I7" s="48">
        <f>I5*128</f>
        <v>789632</v>
      </c>
      <c r="J7" s="48">
        <v>0</v>
      </c>
      <c r="K7" s="48">
        <v>0</v>
      </c>
      <c r="L7" s="48">
        <v>0</v>
      </c>
      <c r="M7" s="48">
        <v>0</v>
      </c>
      <c r="N7" s="5">
        <v>0</v>
      </c>
      <c r="O7" s="5">
        <v>0</v>
      </c>
      <c r="P7" s="5"/>
      <c r="Q7" s="5"/>
      <c r="R7" s="6"/>
    </row>
    <row r="8" spans="1:18" ht="12.75">
      <c r="A8" s="87" t="s">
        <v>9</v>
      </c>
      <c r="B8" s="40"/>
      <c r="C8" s="40"/>
      <c r="D8" s="93"/>
      <c r="E8" s="48">
        <f>E5*56</f>
        <v>348320</v>
      </c>
      <c r="F8" s="48">
        <f>(F5*29)</f>
        <v>176320</v>
      </c>
      <c r="G8" s="48">
        <f>G5*29</f>
        <v>178118</v>
      </c>
      <c r="H8" s="48">
        <f>H5*29</f>
        <v>179626</v>
      </c>
      <c r="I8" s="48">
        <f>I5*8</f>
        <v>49352</v>
      </c>
      <c r="J8" s="48">
        <f>J5*8</f>
        <v>48512</v>
      </c>
      <c r="K8" s="48">
        <f>K5*8</f>
        <v>47752</v>
      </c>
      <c r="L8" s="48">
        <f>L5*8</f>
        <v>45696</v>
      </c>
      <c r="M8" s="48">
        <f>M5*13.33</f>
        <v>75114.55</v>
      </c>
      <c r="N8" s="5">
        <f>N5*13.33</f>
        <v>71542.11</v>
      </c>
      <c r="O8" s="5">
        <f>O5*13.33</f>
        <v>69342.66</v>
      </c>
      <c r="P8" s="5">
        <f>P5*13.33</f>
        <v>67489.79</v>
      </c>
      <c r="Q8" s="5">
        <f>Q5*13.33</f>
        <v>64610.51</v>
      </c>
      <c r="R8" s="6">
        <f>SUM(N8:Q8)</f>
        <v>272985.07</v>
      </c>
    </row>
    <row r="9" spans="1:18" ht="12.75">
      <c r="A9" s="87"/>
      <c r="B9" s="40"/>
      <c r="C9" s="40"/>
      <c r="D9" s="93"/>
      <c r="E9" s="48"/>
      <c r="F9" s="48"/>
      <c r="G9" s="48"/>
      <c r="H9" s="48"/>
      <c r="I9" s="48"/>
      <c r="J9" s="48"/>
      <c r="K9" s="48"/>
      <c r="L9" s="48"/>
      <c r="M9" s="48"/>
      <c r="N9" s="5"/>
      <c r="O9" s="5"/>
      <c r="P9" s="5"/>
      <c r="Q9" s="5"/>
      <c r="R9" s="6"/>
    </row>
    <row r="10" spans="1:18" s="2" customFormat="1" ht="12.75">
      <c r="A10" s="87" t="s">
        <v>10</v>
      </c>
      <c r="B10" s="40"/>
      <c r="C10" s="40"/>
      <c r="D10" s="92" t="s">
        <v>11</v>
      </c>
      <c r="E10" s="48">
        <f>E5*500</f>
        <v>3110000</v>
      </c>
      <c r="F10" s="48">
        <f>(F5*256)</f>
        <v>1556480</v>
      </c>
      <c r="G10" s="48">
        <f>G5*256</f>
        <v>1572352</v>
      </c>
      <c r="H10" s="48">
        <f>H5*256</f>
        <v>1585664</v>
      </c>
      <c r="I10" s="48">
        <f>I5*256</f>
        <v>1579264</v>
      </c>
      <c r="J10" s="48">
        <v>0</v>
      </c>
      <c r="K10" s="48">
        <v>0</v>
      </c>
      <c r="L10" s="48">
        <v>0</v>
      </c>
      <c r="M10" s="48">
        <v>0</v>
      </c>
      <c r="N10" s="5">
        <v>0</v>
      </c>
      <c r="O10" s="5">
        <v>0</v>
      </c>
      <c r="P10" s="5"/>
      <c r="Q10" s="5"/>
      <c r="R10" s="6"/>
    </row>
    <row r="11" spans="1:18" s="2" customFormat="1" ht="12.75">
      <c r="A11" s="87" t="s">
        <v>12</v>
      </c>
      <c r="B11" s="40"/>
      <c r="C11" s="40"/>
      <c r="D11" s="94"/>
      <c r="E11" s="48">
        <f>E5*112</f>
        <v>696640</v>
      </c>
      <c r="F11" s="48">
        <f>(F5*58)</f>
        <v>352640</v>
      </c>
      <c r="G11" s="48">
        <f>G5*58</f>
        <v>356236</v>
      </c>
      <c r="H11" s="48">
        <f>H5*58</f>
        <v>359252</v>
      </c>
      <c r="I11" s="48">
        <f>I5*16</f>
        <v>98704</v>
      </c>
      <c r="J11" s="48">
        <f>J5*16</f>
        <v>97024</v>
      </c>
      <c r="K11" s="48">
        <f>K5*16</f>
        <v>95504</v>
      </c>
      <c r="L11" s="48">
        <f>L5*16</f>
        <v>91392</v>
      </c>
      <c r="M11" s="48">
        <f>M5*26.66</f>
        <v>150229.1</v>
      </c>
      <c r="N11" s="5">
        <f>N5*26.66</f>
        <v>143084.22</v>
      </c>
      <c r="O11" s="5">
        <f>O5*26.66</f>
        <v>138685.32</v>
      </c>
      <c r="P11" s="5">
        <f>P5*26.66</f>
        <v>134979.58</v>
      </c>
      <c r="Q11" s="5">
        <f>Q5*26.66</f>
        <v>129221.02</v>
      </c>
      <c r="R11" s="6">
        <f>SUM(N11:Q11)</f>
        <v>545970.14</v>
      </c>
    </row>
    <row r="12" spans="1:18" s="2" customFormat="1" ht="12.75">
      <c r="A12" s="87"/>
      <c r="B12" s="40"/>
      <c r="C12" s="40"/>
      <c r="D12" s="94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</row>
    <row r="13" spans="1:18" s="2" customFormat="1" ht="12.75">
      <c r="A13" s="87" t="s">
        <v>13</v>
      </c>
      <c r="B13" s="40"/>
      <c r="C13" s="40"/>
      <c r="D13" s="94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18" s="2" customFormat="1" ht="12.75">
      <c r="A14" s="87" t="s">
        <v>14</v>
      </c>
      <c r="B14" s="40"/>
      <c r="C14" s="40"/>
      <c r="D14" s="92" t="s">
        <v>15</v>
      </c>
      <c r="E14" s="48">
        <v>462900</v>
      </c>
      <c r="F14" s="48">
        <f>234147.37+(((E27-341469.81)/10)/1.95583)</f>
        <v>258732.67939123884</v>
      </c>
      <c r="G14" s="48">
        <f>251922.95+(F27/10)</f>
        <v>296647.4267746507</v>
      </c>
      <c r="H14" s="48">
        <f>255520.42+(G27/10)</f>
        <v>312490.17877957755</v>
      </c>
      <c r="I14" s="48">
        <v>363305.9</v>
      </c>
      <c r="J14" s="48">
        <f>394107.71+I27/10</f>
        <v>453313.18600000005</v>
      </c>
      <c r="K14" s="48">
        <f>360076.14+I27/10+J27/10</f>
        <v>480976.40930000006</v>
      </c>
      <c r="L14" s="48">
        <v>345924</v>
      </c>
      <c r="M14" s="48">
        <v>324521.13</v>
      </c>
      <c r="N14" s="5">
        <v>296838</v>
      </c>
      <c r="O14" s="5">
        <v>257267</v>
      </c>
      <c r="P14" s="5">
        <v>216168</v>
      </c>
      <c r="Q14" s="5">
        <v>210144</v>
      </c>
      <c r="R14" s="6">
        <f>SUM(N14:Q14)</f>
        <v>980417</v>
      </c>
    </row>
    <row r="15" spans="1:18" s="2" customFormat="1" ht="12.75">
      <c r="A15" s="87"/>
      <c r="B15" s="40"/>
      <c r="C15" s="40"/>
      <c r="D15" s="9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6"/>
    </row>
    <row r="16" spans="1:18" s="2" customFormat="1" ht="12.75">
      <c r="A16" s="87" t="s">
        <v>13</v>
      </c>
      <c r="B16" s="40"/>
      <c r="C16" s="40"/>
      <c r="D16" s="94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6"/>
    </row>
    <row r="17" spans="1:18" s="2" customFormat="1" ht="13.5" thickBot="1">
      <c r="A17" s="86" t="s">
        <v>16</v>
      </c>
      <c r="B17" s="39"/>
      <c r="C17" s="39"/>
      <c r="D17" s="95" t="s">
        <v>17</v>
      </c>
      <c r="E17" s="50">
        <v>1433000</v>
      </c>
      <c r="F17" s="50">
        <f>670327.16+(E29/10)/1.95583</f>
        <v>754415.9270878008</v>
      </c>
      <c r="G17" s="50">
        <f>673561.1+(894490/10)</f>
        <v>763010.1</v>
      </c>
      <c r="H17" s="50">
        <f>679517.14+G29/10</f>
        <v>793456.657559155</v>
      </c>
      <c r="I17" s="50">
        <v>820126.66</v>
      </c>
      <c r="J17" s="50">
        <v>780582.68</v>
      </c>
      <c r="K17" s="50">
        <v>720055.46</v>
      </c>
      <c r="L17" s="50">
        <v>604360.41</v>
      </c>
      <c r="M17" s="50">
        <v>532920.74</v>
      </c>
      <c r="N17" s="8">
        <v>449565.82</v>
      </c>
      <c r="O17" s="8">
        <v>367305.24</v>
      </c>
      <c r="P17" s="8">
        <v>287347</v>
      </c>
      <c r="Q17" s="102">
        <v>206382</v>
      </c>
      <c r="R17" s="101">
        <f>SUM(N17:Q17)</f>
        <v>1310600.06</v>
      </c>
    </row>
    <row r="18" spans="1:18" s="2" customFormat="1" ht="12.75">
      <c r="A18" s="43"/>
      <c r="B18" s="43"/>
      <c r="C18" s="43"/>
      <c r="D18" s="96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7"/>
    </row>
    <row r="19" spans="1:19" s="12" customFormat="1" ht="13.5" thickBot="1">
      <c r="A19" s="9" t="s">
        <v>18</v>
      </c>
      <c r="B19" s="51"/>
      <c r="C19" s="51"/>
      <c r="D19" s="97"/>
      <c r="E19" s="53">
        <f aca="true" t="shared" si="0" ref="E19:R19">SUM(E7:E17)</f>
        <v>7605860</v>
      </c>
      <c r="F19" s="53">
        <f t="shared" si="0"/>
        <v>3876828.6064790394</v>
      </c>
      <c r="G19" s="53">
        <f t="shared" si="0"/>
        <v>3952539.526774651</v>
      </c>
      <c r="H19" s="53">
        <f t="shared" si="0"/>
        <v>4023320.8363387324</v>
      </c>
      <c r="I19" s="53">
        <f t="shared" si="0"/>
        <v>3700384.56</v>
      </c>
      <c r="J19" s="53">
        <f t="shared" si="0"/>
        <v>1379431.866</v>
      </c>
      <c r="K19" s="53">
        <f t="shared" si="0"/>
        <v>1344287.8693</v>
      </c>
      <c r="L19" s="53">
        <f t="shared" si="0"/>
        <v>1087372.4100000001</v>
      </c>
      <c r="M19" s="53">
        <f t="shared" si="0"/>
        <v>1082785.52</v>
      </c>
      <c r="N19" s="10">
        <f>SUM(N7:N17)</f>
        <v>961030.15</v>
      </c>
      <c r="O19" s="10">
        <f>SUM(O8:O17)</f>
        <v>832600.22</v>
      </c>
      <c r="P19" s="10">
        <f>SUM(P8:P17)</f>
        <v>705984.37</v>
      </c>
      <c r="Q19" s="10">
        <f>SUM(Q8:Q17)</f>
        <v>610357.53</v>
      </c>
      <c r="R19" s="34">
        <f t="shared" si="0"/>
        <v>3109972.27</v>
      </c>
      <c r="S19" s="11"/>
    </row>
    <row r="20" spans="1:18" s="2" customFormat="1" ht="13.5" thickTop="1">
      <c r="A20" s="87"/>
      <c r="B20" s="40"/>
      <c r="C20" s="40"/>
      <c r="D20" s="9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7"/>
    </row>
    <row r="21" spans="1:18" s="2" customFormat="1" ht="9.75" customHeight="1" hidden="1" thickBot="1">
      <c r="A21" s="1" t="s">
        <v>19</v>
      </c>
      <c r="B21" s="40"/>
      <c r="C21" s="40"/>
      <c r="D21" s="9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7"/>
    </row>
    <row r="22" spans="1:18" s="2" customFormat="1" ht="9.75" customHeight="1" hidden="1">
      <c r="A22" s="87"/>
      <c r="B22" s="40"/>
      <c r="C22" s="40"/>
      <c r="D22" s="9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7"/>
    </row>
    <row r="23" spans="1:18" s="2" customFormat="1" ht="9.75" customHeight="1" hidden="1">
      <c r="A23" s="87" t="s">
        <v>20</v>
      </c>
      <c r="B23" s="40"/>
      <c r="C23" s="40"/>
      <c r="D23" s="93">
        <v>2070072200</v>
      </c>
      <c r="E23" s="48">
        <v>0</v>
      </c>
      <c r="F23" s="48">
        <v>0</v>
      </c>
      <c r="G23" s="48">
        <v>0</v>
      </c>
      <c r="H23" s="48">
        <v>0</v>
      </c>
      <c r="I23" s="48"/>
      <c r="J23" s="48">
        <v>0</v>
      </c>
      <c r="K23" s="48">
        <v>0</v>
      </c>
      <c r="L23" s="48"/>
      <c r="M23" s="48"/>
      <c r="N23" s="48"/>
      <c r="O23" s="48"/>
      <c r="P23" s="48"/>
      <c r="Q23" s="48"/>
      <c r="R23" s="49">
        <f>SUM(E23:J23)</f>
        <v>0</v>
      </c>
    </row>
    <row r="24" spans="1:18" s="2" customFormat="1" ht="9.75" customHeight="1" hidden="1">
      <c r="A24" s="87"/>
      <c r="B24" s="40"/>
      <c r="C24" s="40"/>
      <c r="D24" s="93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7"/>
    </row>
    <row r="25" spans="1:18" s="2" customFormat="1" ht="9.75" customHeight="1" hidden="1">
      <c r="A25" s="87" t="s">
        <v>21</v>
      </c>
      <c r="B25" s="40"/>
      <c r="C25" s="40"/>
      <c r="D25" s="93" t="s">
        <v>22</v>
      </c>
      <c r="E25" s="48">
        <v>1627000</v>
      </c>
      <c r="F25" s="48">
        <f>ROUNDUP(1299300/1.95583,-2)</f>
        <v>664400</v>
      </c>
      <c r="G25" s="48">
        <v>0</v>
      </c>
      <c r="H25" s="48">
        <v>0</v>
      </c>
      <c r="I25" s="48"/>
      <c r="J25" s="48">
        <v>0</v>
      </c>
      <c r="K25" s="48">
        <v>0</v>
      </c>
      <c r="L25" s="48"/>
      <c r="M25" s="48"/>
      <c r="N25" s="48"/>
      <c r="O25" s="48"/>
      <c r="P25" s="48"/>
      <c r="Q25" s="48"/>
      <c r="R25" s="49">
        <f>SUM(G25:K25)</f>
        <v>0</v>
      </c>
    </row>
    <row r="26" spans="1:18" s="2" customFormat="1" ht="9.75" customHeight="1" hidden="1">
      <c r="A26" s="87"/>
      <c r="B26" s="40"/>
      <c r="C26" s="40"/>
      <c r="D26" s="93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7"/>
    </row>
    <row r="27" spans="1:18" s="2" customFormat="1" ht="12.75">
      <c r="A27" s="87" t="s">
        <v>23</v>
      </c>
      <c r="B27" s="40"/>
      <c r="C27" s="40"/>
      <c r="D27" s="92" t="s">
        <v>24</v>
      </c>
      <c r="E27" s="48">
        <f>(E$19-E$23-E$25-E$35)/6</f>
        <v>822316.6666666666</v>
      </c>
      <c r="F27" s="48">
        <f>(F$19-F$23-F$25-F$35)/6</f>
        <v>447244.76774650655</v>
      </c>
      <c r="G27" s="48">
        <f>(G$19-G$35)/6</f>
        <v>569697.5877957752</v>
      </c>
      <c r="H27" s="48">
        <f>(H$19-H$35)/6</f>
        <v>580740.4727231221</v>
      </c>
      <c r="I27" s="48">
        <f>(I$19-I$35)/6</f>
        <v>592054.76</v>
      </c>
      <c r="J27" s="48">
        <f>(J$14+J$17)/2</f>
        <v>616947.9330000001</v>
      </c>
      <c r="K27" s="48">
        <f aca="true" t="shared" si="1" ref="K27:Q27">(K$19-K$35)/2</f>
        <v>600515.93465</v>
      </c>
      <c r="L27" s="48">
        <f t="shared" si="1"/>
        <v>475142.2050000001</v>
      </c>
      <c r="M27" s="48">
        <f t="shared" si="1"/>
        <v>428720.935</v>
      </c>
      <c r="N27" s="5">
        <f t="shared" si="1"/>
        <v>373201.91000000003</v>
      </c>
      <c r="O27" s="5">
        <f t="shared" si="1"/>
        <v>312286.12</v>
      </c>
      <c r="P27" s="5">
        <f t="shared" si="1"/>
        <v>251757.5</v>
      </c>
      <c r="Q27" s="5">
        <f t="shared" si="1"/>
        <v>208262.765</v>
      </c>
      <c r="R27" s="6">
        <f>SUM(N27:Q27)</f>
        <v>1145508.295</v>
      </c>
    </row>
    <row r="28" spans="1:20" s="2" customFormat="1" ht="12.75">
      <c r="A28" s="87"/>
      <c r="B28" s="40"/>
      <c r="C28" s="40"/>
      <c r="D28" s="9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5"/>
      <c r="R28" s="6"/>
      <c r="T28" s="38"/>
    </row>
    <row r="29" spans="1:18" s="2" customFormat="1" ht="12.75">
      <c r="A29" s="87" t="s">
        <v>25</v>
      </c>
      <c r="B29" s="40"/>
      <c r="C29" s="40"/>
      <c r="D29" s="92" t="s">
        <v>26</v>
      </c>
      <c r="E29" s="48">
        <f>(E$19-E$23-E$25-E$35)/3</f>
        <v>1644633.3333333333</v>
      </c>
      <c r="F29" s="48">
        <f>(F$19-F$23-F$25-F$35)/3</f>
        <v>894489.5354930131</v>
      </c>
      <c r="G29" s="48">
        <f>(G$19-G$35)/3</f>
        <v>1139395.1755915503</v>
      </c>
      <c r="H29" s="48">
        <f>(H$19-H$35)/3</f>
        <v>1161480.9454462442</v>
      </c>
      <c r="I29" s="48">
        <f>(I$19-I$35)/3</f>
        <v>1184109.52</v>
      </c>
      <c r="J29" s="48">
        <v>0</v>
      </c>
      <c r="K29" s="48">
        <v>0</v>
      </c>
      <c r="L29" s="48">
        <v>0</v>
      </c>
      <c r="M29" s="48">
        <v>0</v>
      </c>
      <c r="N29" s="5">
        <v>0</v>
      </c>
      <c r="O29" s="5">
        <v>0</v>
      </c>
      <c r="P29" s="5">
        <v>0</v>
      </c>
      <c r="Q29" s="5"/>
      <c r="R29" s="6"/>
    </row>
    <row r="30" spans="1:24" s="2" customFormat="1" ht="12.75">
      <c r="A30" s="87"/>
      <c r="B30" s="40"/>
      <c r="C30" s="40"/>
      <c r="D30" s="9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5"/>
      <c r="R30" s="6"/>
      <c r="V30" s="13"/>
      <c r="W30" s="13"/>
      <c r="X30" s="13"/>
    </row>
    <row r="31" spans="1:18" s="2" customFormat="1" ht="12.75">
      <c r="A31" s="87" t="s">
        <v>27</v>
      </c>
      <c r="B31" s="40"/>
      <c r="C31" s="40"/>
      <c r="D31" s="92" t="s">
        <v>28</v>
      </c>
      <c r="E31" s="48">
        <f>(E$19-E$23-E$25-E$35)/6</f>
        <v>822316.6666666666</v>
      </c>
      <c r="F31" s="48">
        <f>(F$19-F$23-F$25-F$35)/6</f>
        <v>447244.76774650655</v>
      </c>
      <c r="G31" s="48">
        <f>(G$19-G$35)/6</f>
        <v>569697.5877957752</v>
      </c>
      <c r="H31" s="48">
        <f>(H$19-H$35)/6</f>
        <v>580740.4727231221</v>
      </c>
      <c r="I31" s="48">
        <f>(I$19-I$35)/6</f>
        <v>592054.76</v>
      </c>
      <c r="J31" s="48">
        <f>J27</f>
        <v>616947.9330000001</v>
      </c>
      <c r="K31" s="48">
        <f>K27</f>
        <v>600515.93465</v>
      </c>
      <c r="L31" s="48">
        <f>L27</f>
        <v>475142.2050000001</v>
      </c>
      <c r="M31" s="48">
        <f>(M27)</f>
        <v>428720.935</v>
      </c>
      <c r="N31" s="5">
        <f>(N27)</f>
        <v>373201.91000000003</v>
      </c>
      <c r="O31" s="5">
        <f>(O27)</f>
        <v>312286.12</v>
      </c>
      <c r="P31" s="5">
        <f>(P27)</f>
        <v>251757.5</v>
      </c>
      <c r="Q31" s="5">
        <v>208263</v>
      </c>
      <c r="R31" s="6">
        <f>SUM(N31:Q31)</f>
        <v>1145508.53</v>
      </c>
    </row>
    <row r="32" spans="1:18" s="2" customFormat="1" ht="12.75">
      <c r="A32" s="87"/>
      <c r="B32" s="40"/>
      <c r="C32" s="40"/>
      <c r="D32" s="94"/>
      <c r="E32" s="48"/>
      <c r="F32" s="48"/>
      <c r="G32" s="48"/>
      <c r="H32" s="48"/>
      <c r="I32" s="48"/>
      <c r="J32" s="48"/>
      <c r="K32" s="48"/>
      <c r="L32" s="48"/>
      <c r="M32" s="48"/>
      <c r="N32" s="5"/>
      <c r="O32" s="5"/>
      <c r="P32" s="5"/>
      <c r="Q32" s="5"/>
      <c r="R32" s="6"/>
    </row>
    <row r="33" spans="1:18" s="2" customFormat="1" ht="12.75">
      <c r="A33" s="90" t="s">
        <v>29</v>
      </c>
      <c r="B33" s="43"/>
      <c r="C33" s="43"/>
      <c r="D33" s="99" t="s">
        <v>30</v>
      </c>
      <c r="E33" s="48">
        <f>(E$19-E$23-E$25-E$35)/3</f>
        <v>1644633.3333333333</v>
      </c>
      <c r="F33" s="48">
        <f>(F$19-F$23-F$25-F$35)/3</f>
        <v>894489.5354930131</v>
      </c>
      <c r="G33" s="48">
        <f>(G$19-G$35)/3</f>
        <v>1139395.1755915503</v>
      </c>
      <c r="H33" s="48">
        <f>(H$19-H$35)/3</f>
        <v>1161480.9454462442</v>
      </c>
      <c r="I33" s="48">
        <f>(I$19-I$35)/3</f>
        <v>1184109.52</v>
      </c>
      <c r="J33" s="48">
        <v>0</v>
      </c>
      <c r="K33" s="48">
        <v>0</v>
      </c>
      <c r="L33" s="48">
        <v>0</v>
      </c>
      <c r="M33" s="48">
        <v>0</v>
      </c>
      <c r="N33" s="5">
        <v>0</v>
      </c>
      <c r="O33" s="5">
        <v>0</v>
      </c>
      <c r="P33" s="5">
        <v>0</v>
      </c>
      <c r="Q33" s="5"/>
      <c r="R33" s="6"/>
    </row>
    <row r="34" spans="1:18" s="2" customFormat="1" ht="12.75">
      <c r="A34" s="90"/>
      <c r="B34" s="43"/>
      <c r="C34" s="43"/>
      <c r="D34" s="54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5"/>
      <c r="R34" s="6"/>
    </row>
    <row r="35" spans="1:18" s="3" customFormat="1" ht="13.5" thickBot="1">
      <c r="A35" s="86" t="s">
        <v>31</v>
      </c>
      <c r="B35" s="39"/>
      <c r="C35" s="39"/>
      <c r="D35" s="55"/>
      <c r="E35" s="50">
        <f aca="true" t="shared" si="2" ref="E35:M35">E8+E11</f>
        <v>1044960</v>
      </c>
      <c r="F35" s="50">
        <f t="shared" si="2"/>
        <v>528960</v>
      </c>
      <c r="G35" s="50">
        <f t="shared" si="2"/>
        <v>534354</v>
      </c>
      <c r="H35" s="50">
        <f t="shared" si="2"/>
        <v>538878</v>
      </c>
      <c r="I35" s="50">
        <f>I8+I11</f>
        <v>148056</v>
      </c>
      <c r="J35" s="50">
        <f t="shared" si="2"/>
        <v>145536</v>
      </c>
      <c r="K35" s="50">
        <f t="shared" si="2"/>
        <v>143256</v>
      </c>
      <c r="L35" s="50">
        <f t="shared" si="2"/>
        <v>137088</v>
      </c>
      <c r="M35" s="50">
        <f t="shared" si="2"/>
        <v>225343.65000000002</v>
      </c>
      <c r="N35" s="8">
        <f>N8+N11</f>
        <v>214626.33000000002</v>
      </c>
      <c r="O35" s="8">
        <f>O8+O11</f>
        <v>208027.98</v>
      </c>
      <c r="P35" s="8">
        <f>P8+P11</f>
        <v>202469.37</v>
      </c>
      <c r="Q35" s="102">
        <v>193832</v>
      </c>
      <c r="R35" s="101">
        <f>SUM(N35:Q35)</f>
        <v>818955.68</v>
      </c>
    </row>
    <row r="36" spans="1:18" s="2" customFormat="1" ht="12.75">
      <c r="A36" s="87"/>
      <c r="B36" s="40"/>
      <c r="C36" s="4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7"/>
    </row>
    <row r="37" spans="1:18" s="12" customFormat="1" ht="13.5" thickBot="1">
      <c r="A37" s="9" t="s">
        <v>32</v>
      </c>
      <c r="B37" s="51"/>
      <c r="C37" s="51"/>
      <c r="D37" s="52"/>
      <c r="E37" s="53">
        <f aca="true" t="shared" si="3" ref="E37:R37">SUM(E23:E35)</f>
        <v>7605860</v>
      </c>
      <c r="F37" s="53">
        <f t="shared" si="3"/>
        <v>3876828.6064790394</v>
      </c>
      <c r="G37" s="53">
        <f t="shared" si="3"/>
        <v>3952539.526774651</v>
      </c>
      <c r="H37" s="53">
        <f t="shared" si="3"/>
        <v>4023320.8363387324</v>
      </c>
      <c r="I37" s="53">
        <f t="shared" si="3"/>
        <v>3700384.56</v>
      </c>
      <c r="J37" s="53">
        <f t="shared" si="3"/>
        <v>1379431.8660000002</v>
      </c>
      <c r="K37" s="53">
        <f t="shared" si="3"/>
        <v>1344287.8693</v>
      </c>
      <c r="L37" s="53">
        <f t="shared" si="3"/>
        <v>1087372.4100000001</v>
      </c>
      <c r="M37" s="53">
        <f>SUM(M27:M35)</f>
        <v>1082785.52</v>
      </c>
      <c r="N37" s="10">
        <f>SUM(N27:N35)</f>
        <v>961030.1500000001</v>
      </c>
      <c r="O37" s="10">
        <f>SUM(O27:O35)</f>
        <v>832600.22</v>
      </c>
      <c r="P37" s="10">
        <f>SUM(P27:P35)</f>
        <v>705984.37</v>
      </c>
      <c r="Q37" s="10">
        <f>SUM(Q27:Q35)</f>
        <v>610357.765</v>
      </c>
      <c r="R37" s="34">
        <f t="shared" si="3"/>
        <v>3109972.5050000004</v>
      </c>
    </row>
    <row r="38" spans="1:18" s="12" customFormat="1" ht="13.5" thickTop="1">
      <c r="A38" s="56"/>
      <c r="B38" s="42"/>
      <c r="C38" s="42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</row>
    <row r="39" spans="1:18" s="12" customFormat="1" ht="18">
      <c r="A39" s="14"/>
      <c r="B39" s="89"/>
      <c r="C39" s="89"/>
      <c r="D39" s="10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04"/>
      <c r="P39" s="104"/>
      <c r="Q39" s="104"/>
      <c r="R39" s="105" t="s">
        <v>38</v>
      </c>
    </row>
    <row r="40" spans="1:18" s="2" customFormat="1" ht="21" customHeight="1">
      <c r="A40" s="117" t="s">
        <v>0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s="2" customFormat="1" ht="8.25" customHeight="1">
      <c r="A41" s="59"/>
      <c r="B41" s="60"/>
      <c r="C41" s="60"/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</row>
    <row r="42" spans="1:18" s="3" customFormat="1" ht="12.75">
      <c r="A42" s="15" t="s">
        <v>41</v>
      </c>
      <c r="B42" s="18"/>
      <c r="C42" s="18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9"/>
    </row>
    <row r="43" spans="1:18" ht="9" customHeight="1" thickBot="1">
      <c r="A43" s="63"/>
      <c r="B43" s="63"/>
      <c r="C43" s="63"/>
      <c r="D43" s="63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3.5" thickBot="1">
      <c r="A44" s="21" t="s">
        <v>33</v>
      </c>
      <c r="B44" s="64"/>
      <c r="C44" s="64"/>
      <c r="D44" s="22" t="s">
        <v>3</v>
      </c>
      <c r="E44" s="22">
        <v>2001</v>
      </c>
      <c r="F44" s="22">
        <v>2002</v>
      </c>
      <c r="G44" s="22">
        <v>2003</v>
      </c>
      <c r="H44" s="22">
        <v>2004</v>
      </c>
      <c r="I44" s="22">
        <v>2005</v>
      </c>
      <c r="J44" s="22">
        <v>2006</v>
      </c>
      <c r="K44" s="22">
        <v>2007</v>
      </c>
      <c r="L44" s="22">
        <v>2008</v>
      </c>
      <c r="M44" s="22">
        <v>2009</v>
      </c>
      <c r="N44" s="22">
        <v>2010</v>
      </c>
      <c r="O44" s="22">
        <v>2011</v>
      </c>
      <c r="P44" s="22">
        <v>2012</v>
      </c>
      <c r="Q44" s="22">
        <v>2013</v>
      </c>
      <c r="R44" s="65"/>
    </row>
    <row r="45" spans="1:18" ht="12.75">
      <c r="A45" s="106"/>
      <c r="B45" s="42"/>
      <c r="C45" s="42"/>
      <c r="D45" s="15" t="s">
        <v>6</v>
      </c>
      <c r="E45" s="66">
        <v>6220</v>
      </c>
      <c r="F45" s="66">
        <v>6080</v>
      </c>
      <c r="G45" s="66">
        <v>6142</v>
      </c>
      <c r="H45" s="66">
        <v>6194</v>
      </c>
      <c r="I45" s="66">
        <f aca="true" t="shared" si="4" ref="I45:N45">I5</f>
        <v>6169</v>
      </c>
      <c r="J45" s="66">
        <f t="shared" si="4"/>
        <v>6064</v>
      </c>
      <c r="K45" s="66">
        <f t="shared" si="4"/>
        <v>5969</v>
      </c>
      <c r="L45" s="66">
        <f t="shared" si="4"/>
        <v>5712</v>
      </c>
      <c r="M45" s="66">
        <f t="shared" si="4"/>
        <v>5635</v>
      </c>
      <c r="N45" s="112">
        <f t="shared" si="4"/>
        <v>5367</v>
      </c>
      <c r="O45" s="112">
        <f>O5</f>
        <v>5202</v>
      </c>
      <c r="P45" s="112">
        <v>5063</v>
      </c>
      <c r="Q45" s="112">
        <v>4847</v>
      </c>
      <c r="R45" s="23" t="s">
        <v>42</v>
      </c>
    </row>
    <row r="46" spans="1:18" ht="9" customHeight="1">
      <c r="A46" s="106"/>
      <c r="B46" s="42"/>
      <c r="C46" s="42"/>
      <c r="D46" s="15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67"/>
    </row>
    <row r="47" spans="1:18" ht="12.75">
      <c r="A47" s="106" t="s">
        <v>7</v>
      </c>
      <c r="B47" s="42"/>
      <c r="C47" s="42"/>
      <c r="D47" s="109" t="s">
        <v>8</v>
      </c>
      <c r="E47" s="57">
        <v>1555000</v>
      </c>
      <c r="F47" s="57">
        <f aca="true" t="shared" si="5" ref="F47:M48">ROUNDDOWN(F7,-2)</f>
        <v>778200</v>
      </c>
      <c r="G47" s="57">
        <f t="shared" si="5"/>
        <v>786100</v>
      </c>
      <c r="H47" s="57">
        <f t="shared" si="5"/>
        <v>792800</v>
      </c>
      <c r="I47" s="57">
        <f>ROUNDDOWN(I7,-2)</f>
        <v>789600</v>
      </c>
      <c r="J47" s="57">
        <f t="shared" si="5"/>
        <v>0</v>
      </c>
      <c r="K47" s="57">
        <f>ROUNDDOWN(K7,-2)</f>
        <v>0</v>
      </c>
      <c r="L47" s="57">
        <f t="shared" si="5"/>
        <v>0</v>
      </c>
      <c r="M47" s="57">
        <f t="shared" si="5"/>
        <v>0</v>
      </c>
      <c r="N47" s="16">
        <f>ROUNDDOWN(N7,-2)</f>
        <v>0</v>
      </c>
      <c r="O47" s="16"/>
      <c r="P47" s="16"/>
      <c r="Q47" s="16"/>
      <c r="R47" s="69"/>
    </row>
    <row r="48" spans="1:18" ht="12.75">
      <c r="A48" s="106" t="s">
        <v>9</v>
      </c>
      <c r="B48" s="42"/>
      <c r="C48" s="42"/>
      <c r="D48" s="109"/>
      <c r="E48" s="57">
        <v>348300</v>
      </c>
      <c r="F48" s="57">
        <f t="shared" si="5"/>
        <v>176300</v>
      </c>
      <c r="G48" s="57">
        <f t="shared" si="5"/>
        <v>178100</v>
      </c>
      <c r="H48" s="57">
        <f t="shared" si="5"/>
        <v>179600</v>
      </c>
      <c r="I48" s="57">
        <f t="shared" si="5"/>
        <v>49300</v>
      </c>
      <c r="J48" s="57">
        <f t="shared" si="5"/>
        <v>48500</v>
      </c>
      <c r="K48" s="57">
        <f>ROUNDDOWN(K8,-2)</f>
        <v>47700</v>
      </c>
      <c r="L48" s="57">
        <f t="shared" si="5"/>
        <v>45600</v>
      </c>
      <c r="M48" s="57">
        <f t="shared" si="5"/>
        <v>75100</v>
      </c>
      <c r="N48" s="16">
        <f>ROUNDDOWN(N8,-2)</f>
        <v>71500</v>
      </c>
      <c r="O48" s="16">
        <f>ROUNDDOWN(O8,-2)</f>
        <v>69300</v>
      </c>
      <c r="P48" s="16">
        <f>ROUNDDOWN(P8,-2)</f>
        <v>67400</v>
      </c>
      <c r="Q48" s="16">
        <f>ROUNDDOWN(Q8,-2)</f>
        <v>64600</v>
      </c>
      <c r="R48" s="24">
        <f>SUM(N48:Q48)</f>
        <v>272800</v>
      </c>
    </row>
    <row r="49" spans="1:18" ht="12.75">
      <c r="A49" s="106"/>
      <c r="B49" s="42"/>
      <c r="C49" s="42"/>
      <c r="D49" s="110"/>
      <c r="E49" s="57"/>
      <c r="F49" s="57"/>
      <c r="G49" s="57"/>
      <c r="H49" s="57"/>
      <c r="I49" s="57"/>
      <c r="J49" s="57"/>
      <c r="K49" s="57"/>
      <c r="L49" s="57"/>
      <c r="M49" s="57"/>
      <c r="N49" s="16"/>
      <c r="O49" s="16"/>
      <c r="P49" s="16"/>
      <c r="Q49" s="16"/>
      <c r="R49" s="24"/>
    </row>
    <row r="50" spans="1:18" ht="12.75">
      <c r="A50" s="106" t="s">
        <v>10</v>
      </c>
      <c r="B50" s="42"/>
      <c r="C50" s="42"/>
      <c r="D50" s="109" t="s">
        <v>11</v>
      </c>
      <c r="E50" s="57">
        <v>3110000</v>
      </c>
      <c r="F50" s="57">
        <f aca="true" t="shared" si="6" ref="F50:M51">ROUNDDOWN(F10,-2)</f>
        <v>1556400</v>
      </c>
      <c r="G50" s="57">
        <f>ROUNDDOWN(G10,-2)-200</f>
        <v>1572100</v>
      </c>
      <c r="H50" s="57">
        <f>ROUNDDOWN(H10,-2)</f>
        <v>1585600</v>
      </c>
      <c r="I50" s="57">
        <f t="shared" si="6"/>
        <v>1579200</v>
      </c>
      <c r="J50" s="57">
        <f>ROUNDDOWN(J10,-2)</f>
        <v>0</v>
      </c>
      <c r="K50" s="57">
        <f>ROUNDDOWN(K10,-2)</f>
        <v>0</v>
      </c>
      <c r="L50" s="57">
        <f>ROUNDDOWN(L10,-2)</f>
        <v>0</v>
      </c>
      <c r="M50" s="57">
        <f>ROUNDDOWN(M10,-2)</f>
        <v>0</v>
      </c>
      <c r="N50" s="16">
        <f>ROUNDDOWN(N10,-2)</f>
        <v>0</v>
      </c>
      <c r="O50" s="16"/>
      <c r="P50" s="16"/>
      <c r="Q50" s="16"/>
      <c r="R50" s="24"/>
    </row>
    <row r="51" spans="1:18" ht="12.75">
      <c r="A51" s="106" t="s">
        <v>12</v>
      </c>
      <c r="B51" s="42"/>
      <c r="C51" s="42"/>
      <c r="D51" s="109"/>
      <c r="E51" s="57">
        <v>696600</v>
      </c>
      <c r="F51" s="57">
        <f t="shared" si="6"/>
        <v>352600</v>
      </c>
      <c r="G51" s="57">
        <f t="shared" si="6"/>
        <v>356200</v>
      </c>
      <c r="H51" s="57">
        <f t="shared" si="6"/>
        <v>359200</v>
      </c>
      <c r="I51" s="57">
        <f t="shared" si="6"/>
        <v>98700</v>
      </c>
      <c r="J51" s="57">
        <f t="shared" si="6"/>
        <v>97000</v>
      </c>
      <c r="K51" s="57">
        <f t="shared" si="6"/>
        <v>95500</v>
      </c>
      <c r="L51" s="57">
        <f t="shared" si="6"/>
        <v>91300</v>
      </c>
      <c r="M51" s="57">
        <f t="shared" si="6"/>
        <v>150200</v>
      </c>
      <c r="N51" s="16">
        <f>ROUNDDOWN(N11,-2)</f>
        <v>143000</v>
      </c>
      <c r="O51" s="16">
        <f>ROUNDDOWN(O11,-2)</f>
        <v>138600</v>
      </c>
      <c r="P51" s="16">
        <f>ROUNDDOWN(P11,-2)</f>
        <v>134900</v>
      </c>
      <c r="Q51" s="16">
        <f>ROUNDDOWN(Q11,-2)</f>
        <v>129200</v>
      </c>
      <c r="R51" s="24">
        <f>SUM(N51:Q51)</f>
        <v>545700</v>
      </c>
    </row>
    <row r="52" spans="1:18" ht="12.75">
      <c r="A52" s="106"/>
      <c r="B52" s="42"/>
      <c r="C52" s="42"/>
      <c r="D52" s="11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24"/>
    </row>
    <row r="53" spans="1:18" ht="12.75">
      <c r="A53" s="106" t="s">
        <v>13</v>
      </c>
      <c r="B53" s="42"/>
      <c r="C53" s="42"/>
      <c r="D53" s="110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24"/>
    </row>
    <row r="54" spans="1:18" ht="12.75">
      <c r="A54" s="106" t="s">
        <v>14</v>
      </c>
      <c r="B54" s="42"/>
      <c r="C54" s="42"/>
      <c r="D54" s="109" t="s">
        <v>15</v>
      </c>
      <c r="E54" s="57">
        <v>462900</v>
      </c>
      <c r="F54" s="57">
        <f aca="true" t="shared" si="7" ref="F54:M54">ROUNDDOWN(F14,-2)</f>
        <v>258700</v>
      </c>
      <c r="G54" s="57">
        <f t="shared" si="7"/>
        <v>296600</v>
      </c>
      <c r="H54" s="57">
        <f t="shared" si="7"/>
        <v>312400</v>
      </c>
      <c r="I54" s="57">
        <f t="shared" si="7"/>
        <v>363300</v>
      </c>
      <c r="J54" s="57">
        <f t="shared" si="7"/>
        <v>453300</v>
      </c>
      <c r="K54" s="57">
        <f>ROUNDDOWN(K14,-2)-100</f>
        <v>480800</v>
      </c>
      <c r="L54" s="57">
        <f t="shared" si="7"/>
        <v>345900</v>
      </c>
      <c r="M54" s="57">
        <f t="shared" si="7"/>
        <v>324500</v>
      </c>
      <c r="N54" s="16">
        <f>ROUNDDOWN(N14,-2)</f>
        <v>296800</v>
      </c>
      <c r="O54" s="16">
        <f>ROUNDDOWN(O14,-2)</f>
        <v>257200</v>
      </c>
      <c r="P54" s="16">
        <f>ROUNDDOWN(P14,-2)</f>
        <v>216100</v>
      </c>
      <c r="Q54" s="16">
        <f>ROUNDDOWN(Q14,-2)</f>
        <v>210100</v>
      </c>
      <c r="R54" s="24">
        <f>SUM(N54:Q54)</f>
        <v>980200</v>
      </c>
    </row>
    <row r="55" spans="1:18" ht="12.75">
      <c r="A55" s="106"/>
      <c r="B55" s="42"/>
      <c r="C55" s="42"/>
      <c r="D55" s="110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69"/>
    </row>
    <row r="56" spans="1:18" ht="12.75">
      <c r="A56" s="106" t="s">
        <v>13</v>
      </c>
      <c r="B56" s="42"/>
      <c r="C56" s="42"/>
      <c r="D56" s="110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69"/>
    </row>
    <row r="57" spans="1:18" ht="13.5" thickBot="1">
      <c r="A57" s="107" t="s">
        <v>16</v>
      </c>
      <c r="B57" s="70"/>
      <c r="C57" s="70"/>
      <c r="D57" s="111" t="s">
        <v>17</v>
      </c>
      <c r="E57" s="71">
        <v>1433000</v>
      </c>
      <c r="F57" s="71">
        <f>ROUNDDOWN(F17,-2)</f>
        <v>754400</v>
      </c>
      <c r="G57" s="71">
        <f>ROUNDDOWN(G17,-2)</f>
        <v>763000</v>
      </c>
      <c r="H57" s="71">
        <f>ROUNDDOWN(H17,-2)</f>
        <v>793400</v>
      </c>
      <c r="I57" s="71">
        <f>ROUNDDOWN(I17,-2)+100</f>
        <v>820200</v>
      </c>
      <c r="J57" s="71">
        <f aca="true" t="shared" si="8" ref="J57:Q57">ROUNDDOWN(J17,-2)</f>
        <v>780500</v>
      </c>
      <c r="K57" s="71">
        <f t="shared" si="8"/>
        <v>720000</v>
      </c>
      <c r="L57" s="71">
        <f t="shared" si="8"/>
        <v>604300</v>
      </c>
      <c r="M57" s="71">
        <f t="shared" si="8"/>
        <v>532900</v>
      </c>
      <c r="N57" s="116">
        <f t="shared" si="8"/>
        <v>449500</v>
      </c>
      <c r="O57" s="116">
        <f t="shared" si="8"/>
        <v>367300</v>
      </c>
      <c r="P57" s="116">
        <f t="shared" si="8"/>
        <v>287300</v>
      </c>
      <c r="Q57" s="116">
        <f t="shared" si="8"/>
        <v>206300</v>
      </c>
      <c r="R57" s="113">
        <f>SUM(N57:Q57)</f>
        <v>1310400</v>
      </c>
    </row>
    <row r="58" spans="1:18" ht="12.75">
      <c r="A58" s="89"/>
      <c r="B58" s="42"/>
      <c r="C58" s="42"/>
      <c r="D58" s="57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</row>
    <row r="59" spans="1:18" ht="13.5" thickBot="1">
      <c r="A59" s="25" t="s">
        <v>18</v>
      </c>
      <c r="B59" s="74"/>
      <c r="C59" s="74"/>
      <c r="D59" s="75"/>
      <c r="E59" s="76">
        <f aca="true" t="shared" si="9" ref="E59:R59">SUM(E47:E57)</f>
        <v>7605800</v>
      </c>
      <c r="F59" s="76">
        <f t="shared" si="9"/>
        <v>3876600</v>
      </c>
      <c r="G59" s="76">
        <f t="shared" si="9"/>
        <v>3952100</v>
      </c>
      <c r="H59" s="76">
        <f t="shared" si="9"/>
        <v>4023000</v>
      </c>
      <c r="I59" s="76">
        <f t="shared" si="9"/>
        <v>3700300</v>
      </c>
      <c r="J59" s="76">
        <f t="shared" si="9"/>
        <v>1379300</v>
      </c>
      <c r="K59" s="76">
        <f t="shared" si="9"/>
        <v>1344000</v>
      </c>
      <c r="L59" s="76">
        <f t="shared" si="9"/>
        <v>1087100</v>
      </c>
      <c r="M59" s="76">
        <f t="shared" si="9"/>
        <v>1082700</v>
      </c>
      <c r="N59" s="26">
        <f>SUM(N47:N57)</f>
        <v>960800</v>
      </c>
      <c r="O59" s="26">
        <f>SUM(O47:O57)</f>
        <v>832400</v>
      </c>
      <c r="P59" s="26">
        <f t="shared" si="9"/>
        <v>705700</v>
      </c>
      <c r="Q59" s="26">
        <f t="shared" si="9"/>
        <v>610200</v>
      </c>
      <c r="R59" s="35">
        <f>SUM(R47:R57)</f>
        <v>3109100</v>
      </c>
    </row>
    <row r="60" spans="1:18" ht="14.25" thickBot="1" thickTop="1">
      <c r="A60" s="108"/>
      <c r="B60" s="77"/>
      <c r="C60" s="77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8"/>
      <c r="O60" s="78"/>
      <c r="P60" s="78"/>
      <c r="Q60" s="78"/>
      <c r="R60" s="79"/>
    </row>
    <row r="61" spans="1:18" ht="13.5" thickBot="1">
      <c r="A61" s="27" t="s">
        <v>34</v>
      </c>
      <c r="B61" s="80"/>
      <c r="C61" s="80"/>
      <c r="D61" s="28" t="s">
        <v>3</v>
      </c>
      <c r="E61" s="28">
        <v>2001</v>
      </c>
      <c r="F61" s="28">
        <v>2002</v>
      </c>
      <c r="G61" s="28">
        <v>2003</v>
      </c>
      <c r="H61" s="28">
        <v>2004</v>
      </c>
      <c r="I61" s="28">
        <v>2005</v>
      </c>
      <c r="J61" s="28">
        <v>2006</v>
      </c>
      <c r="K61" s="28">
        <v>2007</v>
      </c>
      <c r="L61" s="28">
        <v>2008</v>
      </c>
      <c r="M61" s="28">
        <v>2009</v>
      </c>
      <c r="N61" s="28">
        <v>2010</v>
      </c>
      <c r="O61" s="28">
        <v>2011</v>
      </c>
      <c r="P61" s="28">
        <v>2012</v>
      </c>
      <c r="Q61" s="28">
        <v>2013</v>
      </c>
      <c r="R61" s="36" t="s">
        <v>4</v>
      </c>
    </row>
    <row r="62" spans="1:18" ht="15" customHeight="1">
      <c r="A62" s="31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57"/>
      <c r="O62" s="57"/>
      <c r="P62" s="57"/>
      <c r="Q62" s="57"/>
      <c r="R62" s="23" t="s">
        <v>42</v>
      </c>
    </row>
    <row r="63" spans="1:18" ht="15" customHeight="1" hidden="1">
      <c r="A63" s="29"/>
      <c r="B63" s="42"/>
      <c r="C63" s="42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73"/>
    </row>
    <row r="64" spans="1:18" ht="15" customHeight="1" hidden="1">
      <c r="A64" s="106" t="s">
        <v>20</v>
      </c>
      <c r="B64" s="42"/>
      <c r="C64" s="42"/>
      <c r="D64" s="68" t="s">
        <v>35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7">
        <v>0</v>
      </c>
      <c r="L64" s="57"/>
      <c r="M64" s="57"/>
      <c r="N64" s="57"/>
      <c r="O64" s="57"/>
      <c r="P64" s="57"/>
      <c r="Q64" s="57"/>
      <c r="R64" s="69">
        <f>SUM(E64:J64)</f>
        <v>0</v>
      </c>
    </row>
    <row r="65" spans="1:18" ht="15" customHeight="1" hidden="1">
      <c r="A65" s="106"/>
      <c r="B65" s="42"/>
      <c r="C65" s="42"/>
      <c r="D65" s="68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73"/>
    </row>
    <row r="66" spans="1:18" ht="15" customHeight="1" hidden="1">
      <c r="A66" s="106" t="s">
        <v>21</v>
      </c>
      <c r="B66" s="42"/>
      <c r="C66" s="42"/>
      <c r="D66" s="68" t="s">
        <v>36</v>
      </c>
      <c r="E66" s="57">
        <v>1627000</v>
      </c>
      <c r="F66" s="57">
        <f>ROUNDUP(F25,-2)</f>
        <v>664400</v>
      </c>
      <c r="G66" s="57">
        <v>0</v>
      </c>
      <c r="H66" s="57">
        <v>0</v>
      </c>
      <c r="I66" s="57"/>
      <c r="J66" s="57">
        <v>0</v>
      </c>
      <c r="K66" s="57">
        <v>0</v>
      </c>
      <c r="L66" s="57"/>
      <c r="M66" s="57"/>
      <c r="N66" s="57"/>
      <c r="O66" s="57"/>
      <c r="P66" s="57"/>
      <c r="Q66" s="57"/>
      <c r="R66" s="69">
        <f>SUM(G66:K66)</f>
        <v>0</v>
      </c>
    </row>
    <row r="67" spans="1:18" ht="15" customHeight="1" hidden="1">
      <c r="A67" s="106"/>
      <c r="B67" s="42"/>
      <c r="C67" s="42"/>
      <c r="D67" s="68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73"/>
    </row>
    <row r="68" spans="1:18" ht="15" customHeight="1">
      <c r="A68" s="106" t="s">
        <v>23</v>
      </c>
      <c r="B68" s="42"/>
      <c r="C68" s="42"/>
      <c r="D68" s="109" t="s">
        <v>24</v>
      </c>
      <c r="E68" s="57">
        <v>822300</v>
      </c>
      <c r="F68" s="57">
        <f>ROUNDUP(F27,-2)-100</f>
        <v>447200</v>
      </c>
      <c r="G68" s="57">
        <f>ROUNDUP(G27,-2)-100</f>
        <v>569600</v>
      </c>
      <c r="H68" s="57">
        <f>ROUNDUP(H27,-2)-100</f>
        <v>580700</v>
      </c>
      <c r="I68" s="57">
        <f>(ROUNDUP(I27,-2)-100)</f>
        <v>592000</v>
      </c>
      <c r="J68" s="57">
        <f>(ROUNDUP(J27,-2)-150)</f>
        <v>616850</v>
      </c>
      <c r="K68" s="57">
        <f>(ROUNDUP(K27,-2)-200)</f>
        <v>600400</v>
      </c>
      <c r="L68" s="57">
        <f>(ROUNDUP(L27,-2)-200)</f>
        <v>475000</v>
      </c>
      <c r="M68" s="57">
        <f>(ROUNDUP(M27,-2)-150)</f>
        <v>428650</v>
      </c>
      <c r="N68" s="16">
        <f>ROUNDUP(N27,-2)</f>
        <v>373300</v>
      </c>
      <c r="O68" s="16">
        <f>ROUNDUP(O27,-2)</f>
        <v>312300</v>
      </c>
      <c r="P68" s="16">
        <f>ROUNDUP(P27,-2)</f>
        <v>251800</v>
      </c>
      <c r="Q68" s="16">
        <f>ROUNDUP(Q27,-2)</f>
        <v>208300</v>
      </c>
      <c r="R68" s="24">
        <f>SUM(N68:Q68)</f>
        <v>1145700</v>
      </c>
    </row>
    <row r="69" spans="1:18" ht="15" customHeight="1">
      <c r="A69" s="106"/>
      <c r="B69" s="42"/>
      <c r="C69" s="42"/>
      <c r="D69" s="109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24"/>
    </row>
    <row r="70" spans="1:18" ht="15" customHeight="1">
      <c r="A70" s="106" t="s">
        <v>25</v>
      </c>
      <c r="B70" s="42"/>
      <c r="C70" s="42"/>
      <c r="D70" s="109" t="s">
        <v>26</v>
      </c>
      <c r="E70" s="57">
        <v>1644600</v>
      </c>
      <c r="F70" s="57">
        <f>ROUNDUP(F29,-2)</f>
        <v>894500</v>
      </c>
      <c r="G70" s="57">
        <f>ROUNDUP(G29,-2)-100</f>
        <v>1139300</v>
      </c>
      <c r="H70" s="57">
        <f>ROUNDUP(H29,-2)-100</f>
        <v>1161400</v>
      </c>
      <c r="I70" s="57">
        <f>ROUNDUP(I29,-2)-100</f>
        <v>1184100</v>
      </c>
      <c r="J70" s="57">
        <f>ROUNDUP(J29,-2)</f>
        <v>0</v>
      </c>
      <c r="K70" s="57">
        <f>ROUNDUP(K29,-2)</f>
        <v>0</v>
      </c>
      <c r="L70" s="57">
        <f>ROUNDUP(L29,-2)</f>
        <v>0</v>
      </c>
      <c r="M70" s="57">
        <f>ROUNDUP(M29,-2)</f>
        <v>0</v>
      </c>
      <c r="N70" s="16">
        <f>ROUNDUP(N29,-2)</f>
        <v>0</v>
      </c>
      <c r="O70" s="16">
        <v>0</v>
      </c>
      <c r="P70" s="16">
        <v>0</v>
      </c>
      <c r="Q70" s="16">
        <v>0</v>
      </c>
      <c r="R70" s="24">
        <f aca="true" t="shared" si="10" ref="R70:R76">SUM(N70:Q70)</f>
        <v>0</v>
      </c>
    </row>
    <row r="71" spans="1:18" ht="15" customHeight="1">
      <c r="A71" s="106"/>
      <c r="B71" s="42"/>
      <c r="C71" s="42"/>
      <c r="D71" s="109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24"/>
    </row>
    <row r="72" spans="1:18" ht="15" customHeight="1">
      <c r="A72" s="106" t="s">
        <v>27</v>
      </c>
      <c r="B72" s="42"/>
      <c r="C72" s="42"/>
      <c r="D72" s="109" t="s">
        <v>28</v>
      </c>
      <c r="E72" s="57">
        <v>822300</v>
      </c>
      <c r="F72" s="57">
        <f>ROUNDUP(F31,-2)-100</f>
        <v>447200</v>
      </c>
      <c r="G72" s="57">
        <f>ROUNDUP(G31,-2)-100</f>
        <v>569600</v>
      </c>
      <c r="H72" s="57">
        <f>ROUNDUP(H31,-2)-100</f>
        <v>580700</v>
      </c>
      <c r="I72" s="57">
        <f>ROUNDUP(I31,-2)</f>
        <v>592100</v>
      </c>
      <c r="J72" s="57">
        <f>J68</f>
        <v>616850</v>
      </c>
      <c r="K72" s="57">
        <f>K68-100</f>
        <v>600300</v>
      </c>
      <c r="L72" s="83">
        <f aca="true" t="shared" si="11" ref="L72:Q72">L68</f>
        <v>475000</v>
      </c>
      <c r="M72" s="57">
        <f t="shared" si="11"/>
        <v>428650</v>
      </c>
      <c r="N72" s="16">
        <f t="shared" si="11"/>
        <v>373300</v>
      </c>
      <c r="O72" s="16">
        <f t="shared" si="11"/>
        <v>312300</v>
      </c>
      <c r="P72" s="16">
        <f t="shared" si="11"/>
        <v>251800</v>
      </c>
      <c r="Q72" s="16">
        <f t="shared" si="11"/>
        <v>208300</v>
      </c>
      <c r="R72" s="24">
        <f t="shared" si="10"/>
        <v>1145700</v>
      </c>
    </row>
    <row r="73" spans="1:18" ht="15" customHeight="1">
      <c r="A73" s="106"/>
      <c r="B73" s="42"/>
      <c r="C73" s="42"/>
      <c r="D73" s="110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24"/>
    </row>
    <row r="74" spans="1:18" ht="15" customHeight="1">
      <c r="A74" s="106" t="s">
        <v>29</v>
      </c>
      <c r="B74" s="42"/>
      <c r="C74" s="42"/>
      <c r="D74" s="109" t="s">
        <v>30</v>
      </c>
      <c r="E74" s="57">
        <v>1644600</v>
      </c>
      <c r="F74" s="57">
        <f>ROUNDUP(F33,-2)-100</f>
        <v>894400</v>
      </c>
      <c r="G74" s="57">
        <f>ROUNDUP(G33,-2)-100</f>
        <v>1139300</v>
      </c>
      <c r="H74" s="57">
        <f>ROUNDUP(H33,-2)-100</f>
        <v>1161400</v>
      </c>
      <c r="I74" s="57">
        <f>ROUNDUP(I33,-2)-100</f>
        <v>1184100</v>
      </c>
      <c r="J74" s="57">
        <f>ROUNDUP(J33,-2)</f>
        <v>0</v>
      </c>
      <c r="K74" s="57">
        <v>0</v>
      </c>
      <c r="L74" s="84">
        <v>0</v>
      </c>
      <c r="M74" s="57">
        <v>0</v>
      </c>
      <c r="N74" s="16">
        <v>0</v>
      </c>
      <c r="O74" s="16">
        <v>0</v>
      </c>
      <c r="P74" s="16">
        <v>0</v>
      </c>
      <c r="Q74" s="16">
        <v>0</v>
      </c>
      <c r="R74" s="24">
        <f t="shared" si="10"/>
        <v>0</v>
      </c>
    </row>
    <row r="75" spans="1:18" ht="15" customHeight="1">
      <c r="A75" s="106"/>
      <c r="B75" s="42"/>
      <c r="C75" s="42"/>
      <c r="D75" s="114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24"/>
    </row>
    <row r="76" spans="1:18" s="3" customFormat="1" ht="15" customHeight="1" thickBot="1">
      <c r="A76" s="107" t="s">
        <v>37</v>
      </c>
      <c r="B76" s="70"/>
      <c r="C76" s="70"/>
      <c r="D76" s="115" t="s">
        <v>30</v>
      </c>
      <c r="E76" s="71">
        <v>1045000</v>
      </c>
      <c r="F76" s="71">
        <f>F51+F48</f>
        <v>528900</v>
      </c>
      <c r="G76" s="71">
        <f>G51+G48</f>
        <v>534300</v>
      </c>
      <c r="H76" s="71">
        <f>H51+H48</f>
        <v>538800</v>
      </c>
      <c r="I76" s="71">
        <f>I51+I48</f>
        <v>148000</v>
      </c>
      <c r="J76" s="71">
        <f aca="true" t="shared" si="12" ref="J76:Q76">ROUNDUP(J35,-2)</f>
        <v>145600</v>
      </c>
      <c r="K76" s="71">
        <f t="shared" si="12"/>
        <v>143300</v>
      </c>
      <c r="L76" s="71">
        <f t="shared" si="12"/>
        <v>137100</v>
      </c>
      <c r="M76" s="71">
        <f t="shared" si="12"/>
        <v>225400</v>
      </c>
      <c r="N76" s="116">
        <v>214300</v>
      </c>
      <c r="O76" s="116">
        <v>207700</v>
      </c>
      <c r="P76" s="116">
        <v>202100</v>
      </c>
      <c r="Q76" s="116">
        <v>193600</v>
      </c>
      <c r="R76" s="113">
        <f t="shared" si="10"/>
        <v>817700</v>
      </c>
    </row>
    <row r="77" spans="1:18" ht="12.75">
      <c r="A77" s="89"/>
      <c r="B77" s="42"/>
      <c r="C77" s="42"/>
      <c r="D77" s="85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24"/>
    </row>
    <row r="78" spans="1:20" ht="13.5" thickBot="1">
      <c r="A78" s="25" t="s">
        <v>32</v>
      </c>
      <c r="B78" s="74"/>
      <c r="C78" s="74"/>
      <c r="D78" s="75"/>
      <c r="E78" s="76">
        <f aca="true" t="shared" si="13" ref="E78:R78">SUM(E64:E76)</f>
        <v>7605800</v>
      </c>
      <c r="F78" s="76">
        <f t="shared" si="13"/>
        <v>3876600</v>
      </c>
      <c r="G78" s="76">
        <f t="shared" si="13"/>
        <v>3952100</v>
      </c>
      <c r="H78" s="76">
        <f t="shared" si="13"/>
        <v>4023000</v>
      </c>
      <c r="I78" s="76">
        <f t="shared" si="13"/>
        <v>3700300</v>
      </c>
      <c r="J78" s="76">
        <f t="shared" si="13"/>
        <v>1379300</v>
      </c>
      <c r="K78" s="76">
        <f t="shared" si="13"/>
        <v>1344000</v>
      </c>
      <c r="L78" s="76">
        <f>SUM(L64:L76)</f>
        <v>1087100</v>
      </c>
      <c r="M78" s="76">
        <f t="shared" si="13"/>
        <v>1082700</v>
      </c>
      <c r="N78" s="26">
        <f>SUM(N68:N76)</f>
        <v>960900</v>
      </c>
      <c r="O78" s="26">
        <f>SUM(O68:O76)</f>
        <v>832300</v>
      </c>
      <c r="P78" s="26">
        <f>SUM(P68:P76)</f>
        <v>705700</v>
      </c>
      <c r="Q78" s="26">
        <f>SUM(Q68:Q76)</f>
        <v>610200</v>
      </c>
      <c r="R78" s="35">
        <f>SUM(R64:R76)</f>
        <v>3109100</v>
      </c>
      <c r="T78" s="30"/>
    </row>
    <row r="79" spans="1:22" ht="13.5" thickTop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V79" s="30"/>
    </row>
    <row r="80" spans="1:22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V80" s="30"/>
    </row>
    <row r="81" spans="1:18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ht="12.75">
      <c r="A82" s="61" t="s">
        <v>43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0"/>
      <c r="O82" s="60"/>
      <c r="P82" s="60"/>
      <c r="Q82" s="60"/>
      <c r="R82" s="61"/>
    </row>
    <row r="83" spans="1:18" ht="12.75">
      <c r="A83" s="42" t="s">
        <v>40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0"/>
      <c r="O83" s="60"/>
      <c r="P83" s="60"/>
      <c r="Q83" s="60"/>
      <c r="R83" s="61"/>
    </row>
    <row r="84" spans="14:17" ht="12.75">
      <c r="N84" s="37"/>
      <c r="O84" s="37"/>
      <c r="P84" s="37"/>
      <c r="Q84" s="37"/>
    </row>
    <row r="85" ht="12.75">
      <c r="A85" s="20"/>
    </row>
  </sheetData>
  <mergeCells count="1">
    <mergeCell ref="A40:R40"/>
  </mergeCells>
  <printOptions/>
  <pageMargins left="0.7874015748031497" right="0.7874015748031497" top="0.51" bottom="0.35433070866141736" header="0.5118110236220472" footer="0.5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Peine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Radigk</dc:creator>
  <cp:keywords/>
  <dc:description/>
  <cp:lastModifiedBy>SchefflerJ</cp:lastModifiedBy>
  <cp:lastPrinted>2009-12-28T09:27:32Z</cp:lastPrinted>
  <dcterms:created xsi:type="dcterms:W3CDTF">2005-11-29T12:00:42Z</dcterms:created>
  <dcterms:modified xsi:type="dcterms:W3CDTF">2009-12-28T09:54:48Z</dcterms:modified>
  <cp:category/>
  <cp:version/>
  <cp:contentType/>
  <cp:contentStatus/>
</cp:coreProperties>
</file>